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EFOR\PUBLICACIONES REFOR\CASOS PRÁCTICOS PERICIALES\"/>
    </mc:Choice>
  </mc:AlternateContent>
  <bookViews>
    <workbookView xWindow="0" yWindow="0" windowWidth="20490" windowHeight="7530" tabRatio="997"/>
  </bookViews>
  <sheets>
    <sheet name="MARCO" sheetId="44" r:id="rId1"/>
    <sheet name="A1.EPSILON " sheetId="8" r:id="rId2"/>
    <sheet name="A2 BRECKEL " sheetId="4" r:id="rId3"/>
    <sheet name="A3 WATICANA " sheetId="10" r:id="rId4"/>
    <sheet name=" A4 BCO URANO " sheetId="1" r:id="rId5"/>
    <sheet name="A5.1 EPG KIOSCO" sheetId="5" r:id="rId6"/>
    <sheet name="A5.2 EPG BAR" sheetId="30" r:id="rId7"/>
    <sheet name="A5.3 EPG CARPIN" sheetId="31" r:id="rId8"/>
    <sheet name="A6 BOME" sheetId="3" r:id="rId9"/>
    <sheet name="A7 PUCELA " sheetId="29" r:id="rId10"/>
    <sheet name="A8 WIRTS" sheetId="34" r:id="rId11"/>
    <sheet name="A9 CARS ESPAÑA " sheetId="37" r:id="rId12"/>
    <sheet name="A.10 FABIO " sheetId="35" r:id="rId13"/>
    <sheet name="A11 XARABAL " sheetId="23" r:id="rId14"/>
    <sheet name="A.12 IBANK " sheetId="28" r:id="rId15"/>
    <sheet name="A.13 DENVER " sheetId="27" r:id="rId16"/>
    <sheet name="A14 PSP" sheetId="33" r:id="rId17"/>
    <sheet name=" A15  B. ALTAMAR" sheetId="2" r:id="rId18"/>
    <sheet name=" A16 S. NORTE " sheetId="49" r:id="rId19"/>
    <sheet name="A16 S NORTE Cnes" sheetId="48" r:id="rId20"/>
    <sheet name="A16 S. NORTE Div" sheetId="47" r:id="rId21"/>
    <sheet name="A16 S.NORTE -Deud" sheetId="46" r:id="rId22"/>
    <sheet name="A17.1 ESCUDERO " sheetId="16" r:id="rId23"/>
    <sheet name="A17.2 ESCUDERO " sheetId="17" r:id="rId24"/>
    <sheet name="A18 ASADOR " sheetId="19" r:id="rId25"/>
    <sheet name="A19 QUOD " sheetId="24" r:id="rId26"/>
    <sheet name="A20 ARUBA" sheetId="18" r:id="rId27"/>
    <sheet name="A21 EISHADO " sheetId="32" r:id="rId28"/>
    <sheet name="A22 COLORADO " sheetId="38" r:id="rId29"/>
    <sheet name="A23 CONSTANCE" sheetId="36" r:id="rId30"/>
    <sheet name="A24 VALERON plan" sheetId="41" r:id="rId31"/>
    <sheet name="A24 VALERON sol " sheetId="40" r:id="rId32"/>
    <sheet name="A25 M&amp;M-1 datos " sheetId="39" r:id="rId33"/>
    <sheet name="A25 M&amp;M-1 sol" sheetId="43" r:id="rId34"/>
    <sheet name="A25 M&amp;M-2 sol " sheetId="42" r:id="rId35"/>
    <sheet name="A26 MARCAS " sheetId="45" r:id="rId36"/>
    <sheet name="A27 TRIPE A" sheetId="12" r:id="rId37"/>
    <sheet name="M ANANCONDA F" sheetId="21" r:id="rId38"/>
    <sheet name="M ANANCONDA " sheetId="22" r:id="rId39"/>
    <sheet name="BIBLIOGRAFIA " sheetId="25" r:id="rId40"/>
    <sheet name="Hoja1" sheetId="26" r:id="rId41"/>
  </sheets>
  <externalReferences>
    <externalReference r:id="rId42"/>
    <externalReference r:id="rId43"/>
    <externalReference r:id="rId44"/>
    <externalReference r:id="rId45"/>
  </externalReferences>
  <calcPr calcId="171027"/>
  <fileRecoveryPr autoRecover="0"/>
</workbook>
</file>

<file path=xl/calcChain.xml><?xml version="1.0" encoding="utf-8"?>
<calcChain xmlns="http://schemas.openxmlformats.org/spreadsheetml/2006/main">
  <c r="U60" i="23" l="1"/>
  <c r="C14" i="40" l="1"/>
  <c r="C12" i="40"/>
  <c r="D15" i="46"/>
  <c r="D14" i="46"/>
  <c r="D15" i="47"/>
  <c r="D16" i="47" s="1"/>
  <c r="D14" i="47"/>
  <c r="D15" i="48"/>
  <c r="D14" i="48"/>
  <c r="E23" i="48" s="1"/>
  <c r="D6" i="48"/>
  <c r="E14" i="46"/>
  <c r="AB102" i="46"/>
  <c r="D101" i="46"/>
  <c r="F100" i="46"/>
  <c r="G100" i="46" s="1"/>
  <c r="H100" i="46" s="1"/>
  <c r="I100" i="46" s="1"/>
  <c r="J100" i="46" s="1"/>
  <c r="K100" i="46" s="1"/>
  <c r="L100" i="46" s="1"/>
  <c r="M100" i="46" s="1"/>
  <c r="N100" i="46" s="1"/>
  <c r="O100" i="46" s="1"/>
  <c r="P100" i="46" s="1"/>
  <c r="Q100" i="46" s="1"/>
  <c r="R100" i="46" s="1"/>
  <c r="S100" i="46" s="1"/>
  <c r="T100" i="46" s="1"/>
  <c r="U100" i="46" s="1"/>
  <c r="V100" i="46" s="1"/>
  <c r="W100" i="46" s="1"/>
  <c r="X100" i="46" s="1"/>
  <c r="Y100" i="46" s="1"/>
  <c r="Z100" i="46" s="1"/>
  <c r="AA100" i="46" s="1"/>
  <c r="AB100" i="46" s="1"/>
  <c r="D92" i="46"/>
  <c r="AB91" i="46"/>
  <c r="D90" i="46"/>
  <c r="N89" i="46"/>
  <c r="O89" i="46" s="1"/>
  <c r="P89" i="46" s="1"/>
  <c r="Q89" i="46" s="1"/>
  <c r="R89" i="46" s="1"/>
  <c r="S89" i="46" s="1"/>
  <c r="T89" i="46" s="1"/>
  <c r="U89" i="46" s="1"/>
  <c r="V89" i="46" s="1"/>
  <c r="W89" i="46" s="1"/>
  <c r="X89" i="46" s="1"/>
  <c r="Y89" i="46" s="1"/>
  <c r="Z89" i="46" s="1"/>
  <c r="AA89" i="46" s="1"/>
  <c r="AB89" i="46" s="1"/>
  <c r="F89" i="46"/>
  <c r="G89" i="46" s="1"/>
  <c r="H89" i="46" s="1"/>
  <c r="I89" i="46" s="1"/>
  <c r="J89" i="46" s="1"/>
  <c r="K89" i="46" s="1"/>
  <c r="L89" i="46" s="1"/>
  <c r="M89" i="46" s="1"/>
  <c r="D81" i="46"/>
  <c r="D82" i="46" s="1"/>
  <c r="AB80" i="46"/>
  <c r="D80" i="46"/>
  <c r="D79" i="46"/>
  <c r="O78" i="46"/>
  <c r="P78" i="46" s="1"/>
  <c r="Q78" i="46" s="1"/>
  <c r="R78" i="46" s="1"/>
  <c r="S78" i="46" s="1"/>
  <c r="T78" i="46" s="1"/>
  <c r="U78" i="46" s="1"/>
  <c r="V78" i="46" s="1"/>
  <c r="W78" i="46" s="1"/>
  <c r="X78" i="46" s="1"/>
  <c r="Y78" i="46" s="1"/>
  <c r="Z78" i="46" s="1"/>
  <c r="AA78" i="46" s="1"/>
  <c r="AB78" i="46" s="1"/>
  <c r="K78" i="46"/>
  <c r="L78" i="46" s="1"/>
  <c r="M78" i="46" s="1"/>
  <c r="N78" i="46" s="1"/>
  <c r="G78" i="46"/>
  <c r="H78" i="46" s="1"/>
  <c r="I78" i="46" s="1"/>
  <c r="J78" i="46" s="1"/>
  <c r="F78" i="46"/>
  <c r="O69" i="46"/>
  <c r="D68" i="46"/>
  <c r="I67" i="46"/>
  <c r="J67" i="46" s="1"/>
  <c r="K67" i="46" s="1"/>
  <c r="L67" i="46" s="1"/>
  <c r="M67" i="46" s="1"/>
  <c r="N67" i="46" s="1"/>
  <c r="O67" i="46" s="1"/>
  <c r="P67" i="46" s="1"/>
  <c r="Q67" i="46" s="1"/>
  <c r="R67" i="46" s="1"/>
  <c r="S67" i="46" s="1"/>
  <c r="T67" i="46" s="1"/>
  <c r="U67" i="46" s="1"/>
  <c r="V67" i="46" s="1"/>
  <c r="W67" i="46" s="1"/>
  <c r="X67" i="46" s="1"/>
  <c r="Y67" i="46" s="1"/>
  <c r="Z67" i="46" s="1"/>
  <c r="AA67" i="46" s="1"/>
  <c r="AB67" i="46" s="1"/>
  <c r="H67" i="46"/>
  <c r="G67" i="46"/>
  <c r="F67" i="46"/>
  <c r="F44" i="46"/>
  <c r="G44" i="46" s="1"/>
  <c r="H44" i="46" s="1"/>
  <c r="I44" i="46" s="1"/>
  <c r="J44" i="46" s="1"/>
  <c r="K44" i="46" s="1"/>
  <c r="L44" i="46" s="1"/>
  <c r="M44" i="46" s="1"/>
  <c r="N44" i="46" s="1"/>
  <c r="O44" i="46" s="1"/>
  <c r="P44" i="46" s="1"/>
  <c r="Q44" i="46" s="1"/>
  <c r="R44" i="46" s="1"/>
  <c r="S44" i="46" s="1"/>
  <c r="T44" i="46" s="1"/>
  <c r="U44" i="46" s="1"/>
  <c r="V44" i="46" s="1"/>
  <c r="W44" i="46" s="1"/>
  <c r="X44" i="46" s="1"/>
  <c r="Y44" i="46" s="1"/>
  <c r="Z44" i="46" s="1"/>
  <c r="AA44" i="46" s="1"/>
  <c r="AB44" i="46" s="1"/>
  <c r="AB37" i="46"/>
  <c r="AB69" i="46" s="1"/>
  <c r="Q37" i="46"/>
  <c r="P37" i="46"/>
  <c r="P69" i="46" s="1"/>
  <c r="O37" i="46"/>
  <c r="N37" i="46"/>
  <c r="N69" i="46" s="1"/>
  <c r="M37" i="46"/>
  <c r="M69" i="46" s="1"/>
  <c r="L37" i="46"/>
  <c r="L69" i="46" s="1"/>
  <c r="K37" i="46"/>
  <c r="K69" i="46" s="1"/>
  <c r="J37" i="46"/>
  <c r="J69" i="46" s="1"/>
  <c r="I37" i="46"/>
  <c r="I69" i="46" s="1"/>
  <c r="H37" i="46"/>
  <c r="H69" i="46" s="1"/>
  <c r="G37" i="46"/>
  <c r="G69" i="46" s="1"/>
  <c r="F37" i="46"/>
  <c r="F69" i="46" s="1"/>
  <c r="E37" i="46"/>
  <c r="E69" i="46" s="1"/>
  <c r="D37" i="46"/>
  <c r="D69" i="46" s="1"/>
  <c r="D70" i="46" s="1"/>
  <c r="AB36" i="46"/>
  <c r="AA36" i="46"/>
  <c r="Z36" i="46"/>
  <c r="Y36" i="46"/>
  <c r="X36" i="46"/>
  <c r="W36" i="46"/>
  <c r="V36" i="46"/>
  <c r="U36" i="46"/>
  <c r="T36" i="46"/>
  <c r="S36" i="46"/>
  <c r="R36" i="46"/>
  <c r="Q36" i="46"/>
  <c r="P36" i="46"/>
  <c r="O36" i="46"/>
  <c r="N36" i="46"/>
  <c r="M36" i="46"/>
  <c r="L36" i="46"/>
  <c r="K36" i="46"/>
  <c r="J36" i="46"/>
  <c r="I36" i="46"/>
  <c r="H36" i="46"/>
  <c r="G36" i="46"/>
  <c r="F36" i="46"/>
  <c r="E36" i="46"/>
  <c r="D36" i="46"/>
  <c r="G20" i="46"/>
  <c r="H20" i="46" s="1"/>
  <c r="E20" i="46"/>
  <c r="F20" i="46" s="1"/>
  <c r="D8" i="46"/>
  <c r="D7" i="46"/>
  <c r="E6" i="46"/>
  <c r="F6" i="46" s="1"/>
  <c r="G6" i="46" s="1"/>
  <c r="H6" i="46" s="1"/>
  <c r="I6" i="46" s="1"/>
  <c r="J6" i="46" s="1"/>
  <c r="K6" i="46" s="1"/>
  <c r="L6" i="46" s="1"/>
  <c r="M6" i="46" s="1"/>
  <c r="N6" i="46" s="1"/>
  <c r="O6" i="46" s="1"/>
  <c r="P6" i="46" s="1"/>
  <c r="Q6" i="46" s="1"/>
  <c r="R6" i="46" s="1"/>
  <c r="S6" i="46" s="1"/>
  <c r="T6" i="46" s="1"/>
  <c r="U6" i="46" s="1"/>
  <c r="V6" i="46" s="1"/>
  <c r="W6" i="46" s="1"/>
  <c r="X6" i="46" s="1"/>
  <c r="Y6" i="46" s="1"/>
  <c r="Z6" i="46" s="1"/>
  <c r="AA6" i="46" s="1"/>
  <c r="AB6" i="46" s="1"/>
  <c r="AB102" i="47"/>
  <c r="D101" i="47"/>
  <c r="F100" i="47"/>
  <c r="G100" i="47" s="1"/>
  <c r="H100" i="47" s="1"/>
  <c r="I100" i="47" s="1"/>
  <c r="J100" i="47" s="1"/>
  <c r="K100" i="47" s="1"/>
  <c r="L100" i="47" s="1"/>
  <c r="M100" i="47" s="1"/>
  <c r="N100" i="47" s="1"/>
  <c r="O100" i="47" s="1"/>
  <c r="P100" i="47" s="1"/>
  <c r="Q100" i="47" s="1"/>
  <c r="R100" i="47" s="1"/>
  <c r="S100" i="47" s="1"/>
  <c r="T100" i="47" s="1"/>
  <c r="U100" i="47" s="1"/>
  <c r="V100" i="47" s="1"/>
  <c r="W100" i="47" s="1"/>
  <c r="X100" i="47" s="1"/>
  <c r="Y100" i="47" s="1"/>
  <c r="Z100" i="47" s="1"/>
  <c r="AA100" i="47" s="1"/>
  <c r="AB100" i="47" s="1"/>
  <c r="D92" i="47"/>
  <c r="AB91" i="47"/>
  <c r="D90" i="47"/>
  <c r="J89" i="47"/>
  <c r="K89" i="47" s="1"/>
  <c r="L89" i="47" s="1"/>
  <c r="M89" i="47" s="1"/>
  <c r="N89" i="47" s="1"/>
  <c r="O89" i="47" s="1"/>
  <c r="P89" i="47" s="1"/>
  <c r="Q89" i="47" s="1"/>
  <c r="R89" i="47" s="1"/>
  <c r="S89" i="47" s="1"/>
  <c r="T89" i="47" s="1"/>
  <c r="U89" i="47" s="1"/>
  <c r="V89" i="47" s="1"/>
  <c r="W89" i="47" s="1"/>
  <c r="X89" i="47" s="1"/>
  <c r="Y89" i="47" s="1"/>
  <c r="Z89" i="47" s="1"/>
  <c r="AA89" i="47" s="1"/>
  <c r="AB89" i="47" s="1"/>
  <c r="F89" i="47"/>
  <c r="G89" i="47" s="1"/>
  <c r="H89" i="47" s="1"/>
  <c r="I89" i="47" s="1"/>
  <c r="AB80" i="47"/>
  <c r="D80" i="47"/>
  <c r="D81" i="47" s="1"/>
  <c r="D79" i="47"/>
  <c r="P78" i="47"/>
  <c r="Q78" i="47" s="1"/>
  <c r="R78" i="47" s="1"/>
  <c r="S78" i="47" s="1"/>
  <c r="T78" i="47" s="1"/>
  <c r="U78" i="47" s="1"/>
  <c r="V78" i="47" s="1"/>
  <c r="W78" i="47" s="1"/>
  <c r="X78" i="47" s="1"/>
  <c r="Y78" i="47" s="1"/>
  <c r="Z78" i="47" s="1"/>
  <c r="AA78" i="47" s="1"/>
  <c r="AB78" i="47" s="1"/>
  <c r="H78" i="47"/>
  <c r="I78" i="47" s="1"/>
  <c r="J78" i="47" s="1"/>
  <c r="K78" i="47" s="1"/>
  <c r="L78" i="47" s="1"/>
  <c r="M78" i="47" s="1"/>
  <c r="N78" i="47" s="1"/>
  <c r="O78" i="47" s="1"/>
  <c r="G78" i="47"/>
  <c r="F78" i="47"/>
  <c r="E70" i="47"/>
  <c r="N69" i="47"/>
  <c r="D68" i="47"/>
  <c r="F67" i="47"/>
  <c r="G67" i="47" s="1"/>
  <c r="H67" i="47" s="1"/>
  <c r="I67" i="47" s="1"/>
  <c r="J67" i="47" s="1"/>
  <c r="K67" i="47" s="1"/>
  <c r="L67" i="47" s="1"/>
  <c r="M67" i="47" s="1"/>
  <c r="N67" i="47" s="1"/>
  <c r="O67" i="47" s="1"/>
  <c r="P67" i="47" s="1"/>
  <c r="Q67" i="47" s="1"/>
  <c r="R67" i="47" s="1"/>
  <c r="S67" i="47" s="1"/>
  <c r="T67" i="47" s="1"/>
  <c r="U67" i="47" s="1"/>
  <c r="V67" i="47" s="1"/>
  <c r="W67" i="47" s="1"/>
  <c r="X67" i="47" s="1"/>
  <c r="Y67" i="47" s="1"/>
  <c r="Z67" i="47" s="1"/>
  <c r="AA67" i="47" s="1"/>
  <c r="AB67" i="47" s="1"/>
  <c r="J44" i="47"/>
  <c r="K44" i="47" s="1"/>
  <c r="L44" i="47" s="1"/>
  <c r="M44" i="47" s="1"/>
  <c r="N44" i="47" s="1"/>
  <c r="O44" i="47" s="1"/>
  <c r="P44" i="47" s="1"/>
  <c r="Q44" i="47" s="1"/>
  <c r="R44" i="47" s="1"/>
  <c r="S44" i="47" s="1"/>
  <c r="T44" i="47" s="1"/>
  <c r="U44" i="47" s="1"/>
  <c r="V44" i="47" s="1"/>
  <c r="W44" i="47" s="1"/>
  <c r="X44" i="47" s="1"/>
  <c r="Y44" i="47" s="1"/>
  <c r="Z44" i="47" s="1"/>
  <c r="AA44" i="47" s="1"/>
  <c r="AB44" i="47" s="1"/>
  <c r="F44" i="47"/>
  <c r="G44" i="47" s="1"/>
  <c r="H44" i="47" s="1"/>
  <c r="I44" i="47" s="1"/>
  <c r="AB37" i="47"/>
  <c r="AB69" i="47" s="1"/>
  <c r="Q37" i="47"/>
  <c r="Q69" i="47" s="1"/>
  <c r="P37" i="47"/>
  <c r="P69" i="47" s="1"/>
  <c r="O37" i="47"/>
  <c r="O69" i="47" s="1"/>
  <c r="N37" i="47"/>
  <c r="M37" i="47"/>
  <c r="M69" i="47" s="1"/>
  <c r="L37" i="47"/>
  <c r="L69" i="47" s="1"/>
  <c r="K37" i="47"/>
  <c r="K69" i="47" s="1"/>
  <c r="J37" i="47"/>
  <c r="J69" i="47" s="1"/>
  <c r="I37" i="47"/>
  <c r="I69" i="47" s="1"/>
  <c r="H37" i="47"/>
  <c r="H69" i="47" s="1"/>
  <c r="G37" i="47"/>
  <c r="G69" i="47" s="1"/>
  <c r="F37" i="47"/>
  <c r="F69" i="47" s="1"/>
  <c r="E37" i="47"/>
  <c r="E69" i="47" s="1"/>
  <c r="D37" i="47"/>
  <c r="D69" i="47" s="1"/>
  <c r="D70" i="47" s="1"/>
  <c r="D71" i="47" s="1"/>
  <c r="AB36" i="47"/>
  <c r="AA36" i="47"/>
  <c r="Z36" i="47"/>
  <c r="Y36" i="47"/>
  <c r="X36" i="47"/>
  <c r="W36" i="47"/>
  <c r="V36" i="47"/>
  <c r="U36" i="47"/>
  <c r="T36" i="47"/>
  <c r="S36" i="47"/>
  <c r="Q36" i="47"/>
  <c r="R36" i="47" s="1"/>
  <c r="P36" i="47"/>
  <c r="O36" i="47"/>
  <c r="N36" i="47"/>
  <c r="M36" i="47"/>
  <c r="L36" i="47"/>
  <c r="K36" i="47"/>
  <c r="J36" i="47"/>
  <c r="I36" i="47"/>
  <c r="H36" i="47"/>
  <c r="G36" i="47"/>
  <c r="F36" i="47"/>
  <c r="E36" i="47"/>
  <c r="D36" i="47"/>
  <c r="F20" i="47"/>
  <c r="E20" i="47"/>
  <c r="D10" i="47"/>
  <c r="E8" i="47"/>
  <c r="E58" i="47" s="1"/>
  <c r="D8" i="47"/>
  <c r="D7" i="47"/>
  <c r="E6" i="47"/>
  <c r="F6" i="47" s="1"/>
  <c r="G6" i="47" s="1"/>
  <c r="H6" i="47" s="1"/>
  <c r="I6" i="47" s="1"/>
  <c r="J6" i="47" s="1"/>
  <c r="K6" i="47" s="1"/>
  <c r="L6" i="47" s="1"/>
  <c r="M6" i="47" s="1"/>
  <c r="N6" i="47" s="1"/>
  <c r="O6" i="47" s="1"/>
  <c r="P6" i="47" s="1"/>
  <c r="Q6" i="47" s="1"/>
  <c r="R6" i="47" s="1"/>
  <c r="S6" i="47" s="1"/>
  <c r="T6" i="47" s="1"/>
  <c r="U6" i="47" s="1"/>
  <c r="V6" i="47" s="1"/>
  <c r="W6" i="47" s="1"/>
  <c r="X6" i="47" s="1"/>
  <c r="Y6" i="47" s="1"/>
  <c r="Z6" i="47" s="1"/>
  <c r="AA6" i="47" s="1"/>
  <c r="AB6" i="47" s="1"/>
  <c r="E20" i="48"/>
  <c r="E14" i="48"/>
  <c r="E8" i="48"/>
  <c r="E7" i="48"/>
  <c r="D8" i="48"/>
  <c r="D7" i="48"/>
  <c r="G77" i="49"/>
  <c r="G76" i="49"/>
  <c r="G75" i="49"/>
  <c r="AB102" i="48"/>
  <c r="D101" i="48"/>
  <c r="F100" i="48"/>
  <c r="G100" i="48" s="1"/>
  <c r="H100" i="48" s="1"/>
  <c r="I100" i="48" s="1"/>
  <c r="J100" i="48" s="1"/>
  <c r="K100" i="48" s="1"/>
  <c r="L100" i="48" s="1"/>
  <c r="M100" i="48" s="1"/>
  <c r="N100" i="48" s="1"/>
  <c r="O100" i="48" s="1"/>
  <c r="P100" i="48" s="1"/>
  <c r="Q100" i="48" s="1"/>
  <c r="R100" i="48" s="1"/>
  <c r="S100" i="48" s="1"/>
  <c r="T100" i="48" s="1"/>
  <c r="U100" i="48" s="1"/>
  <c r="V100" i="48" s="1"/>
  <c r="W100" i="48" s="1"/>
  <c r="X100" i="48" s="1"/>
  <c r="Y100" i="48" s="1"/>
  <c r="Z100" i="48" s="1"/>
  <c r="AA100" i="48" s="1"/>
  <c r="AB100" i="48" s="1"/>
  <c r="D92" i="48"/>
  <c r="AB91" i="48"/>
  <c r="D90" i="48"/>
  <c r="F89" i="48"/>
  <c r="G89" i="48" s="1"/>
  <c r="H89" i="48" s="1"/>
  <c r="I89" i="48" s="1"/>
  <c r="J89" i="48" s="1"/>
  <c r="K89" i="48" s="1"/>
  <c r="L89" i="48" s="1"/>
  <c r="M89" i="48" s="1"/>
  <c r="N89" i="48" s="1"/>
  <c r="O89" i="48" s="1"/>
  <c r="P89" i="48" s="1"/>
  <c r="Q89" i="48" s="1"/>
  <c r="R89" i="48" s="1"/>
  <c r="S89" i="48" s="1"/>
  <c r="T89" i="48" s="1"/>
  <c r="U89" i="48" s="1"/>
  <c r="V89" i="48" s="1"/>
  <c r="W89" i="48" s="1"/>
  <c r="X89" i="48" s="1"/>
  <c r="Y89" i="48" s="1"/>
  <c r="Z89" i="48" s="1"/>
  <c r="AA89" i="48" s="1"/>
  <c r="AB89" i="48" s="1"/>
  <c r="AB80" i="48"/>
  <c r="D80" i="48"/>
  <c r="D81" i="48" s="1"/>
  <c r="D79" i="48"/>
  <c r="L78" i="48"/>
  <c r="M78" i="48" s="1"/>
  <c r="N78" i="48" s="1"/>
  <c r="O78" i="48" s="1"/>
  <c r="P78" i="48" s="1"/>
  <c r="Q78" i="48" s="1"/>
  <c r="R78" i="48" s="1"/>
  <c r="S78" i="48" s="1"/>
  <c r="T78" i="48" s="1"/>
  <c r="U78" i="48" s="1"/>
  <c r="V78" i="48" s="1"/>
  <c r="W78" i="48" s="1"/>
  <c r="X78" i="48" s="1"/>
  <c r="Y78" i="48" s="1"/>
  <c r="Z78" i="48" s="1"/>
  <c r="AA78" i="48" s="1"/>
  <c r="AB78" i="48" s="1"/>
  <c r="H78" i="48"/>
  <c r="I78" i="48" s="1"/>
  <c r="J78" i="48" s="1"/>
  <c r="K78" i="48" s="1"/>
  <c r="F78" i="48"/>
  <c r="G78" i="48" s="1"/>
  <c r="J69" i="48"/>
  <c r="D68" i="48"/>
  <c r="H67" i="48"/>
  <c r="I67" i="48" s="1"/>
  <c r="J67" i="48" s="1"/>
  <c r="K67" i="48" s="1"/>
  <c r="L67" i="48" s="1"/>
  <c r="M67" i="48" s="1"/>
  <c r="N67" i="48" s="1"/>
  <c r="O67" i="48" s="1"/>
  <c r="P67" i="48" s="1"/>
  <c r="Q67" i="48" s="1"/>
  <c r="R67" i="48" s="1"/>
  <c r="S67" i="48" s="1"/>
  <c r="T67" i="48" s="1"/>
  <c r="U67" i="48" s="1"/>
  <c r="V67" i="48" s="1"/>
  <c r="W67" i="48" s="1"/>
  <c r="X67" i="48" s="1"/>
  <c r="Y67" i="48" s="1"/>
  <c r="Z67" i="48" s="1"/>
  <c r="AA67" i="48" s="1"/>
  <c r="AB67" i="48" s="1"/>
  <c r="F67" i="48"/>
  <c r="G67" i="48" s="1"/>
  <c r="F44" i="48"/>
  <c r="G44" i="48" s="1"/>
  <c r="H44" i="48" s="1"/>
  <c r="I44" i="48" s="1"/>
  <c r="J44" i="48" s="1"/>
  <c r="K44" i="48" s="1"/>
  <c r="L44" i="48" s="1"/>
  <c r="M44" i="48" s="1"/>
  <c r="N44" i="48" s="1"/>
  <c r="O44" i="48" s="1"/>
  <c r="P44" i="48" s="1"/>
  <c r="Q44" i="48" s="1"/>
  <c r="R44" i="48" s="1"/>
  <c r="S44" i="48" s="1"/>
  <c r="T44" i="48" s="1"/>
  <c r="U44" i="48" s="1"/>
  <c r="V44" i="48" s="1"/>
  <c r="W44" i="48" s="1"/>
  <c r="X44" i="48" s="1"/>
  <c r="Y44" i="48" s="1"/>
  <c r="Z44" i="48" s="1"/>
  <c r="AA44" i="48" s="1"/>
  <c r="AB44" i="48" s="1"/>
  <c r="AB37" i="48"/>
  <c r="AB69" i="48" s="1"/>
  <c r="Q37" i="48"/>
  <c r="Q69" i="48" s="1"/>
  <c r="P37" i="48"/>
  <c r="P69" i="48" s="1"/>
  <c r="O37" i="48"/>
  <c r="O69" i="48" s="1"/>
  <c r="N37" i="48"/>
  <c r="N69" i="48" s="1"/>
  <c r="M37" i="48"/>
  <c r="M69" i="48" s="1"/>
  <c r="L37" i="48"/>
  <c r="L69" i="48" s="1"/>
  <c r="K37" i="48"/>
  <c r="K69" i="48" s="1"/>
  <c r="J37" i="48"/>
  <c r="I37" i="48"/>
  <c r="I69" i="48" s="1"/>
  <c r="H37" i="48"/>
  <c r="H69" i="48" s="1"/>
  <c r="G37" i="48"/>
  <c r="G69" i="48" s="1"/>
  <c r="F37" i="48"/>
  <c r="F69" i="48" s="1"/>
  <c r="E37" i="48"/>
  <c r="E69" i="48" s="1"/>
  <c r="D37" i="48"/>
  <c r="D69" i="48" s="1"/>
  <c r="D70" i="48" s="1"/>
  <c r="D71" i="48" s="1"/>
  <c r="AB36" i="48"/>
  <c r="AA36" i="48"/>
  <c r="Z36" i="48"/>
  <c r="Y36" i="48"/>
  <c r="X36" i="48"/>
  <c r="W36" i="48"/>
  <c r="V36" i="48"/>
  <c r="U36" i="48"/>
  <c r="T36" i="48"/>
  <c r="S36" i="48"/>
  <c r="Q36" i="48"/>
  <c r="R36" i="48" s="1"/>
  <c r="P36" i="48"/>
  <c r="O36" i="48"/>
  <c r="N36" i="48"/>
  <c r="M36" i="48"/>
  <c r="L36" i="48"/>
  <c r="K36" i="48"/>
  <c r="J36" i="48"/>
  <c r="I36" i="48"/>
  <c r="H36" i="48"/>
  <c r="G36" i="48"/>
  <c r="F36" i="48"/>
  <c r="E36" i="48"/>
  <c r="D36" i="48"/>
  <c r="F7" i="48"/>
  <c r="E6" i="48"/>
  <c r="F6" i="48" s="1"/>
  <c r="G6" i="48" s="1"/>
  <c r="H6" i="48" s="1"/>
  <c r="I6" i="48" s="1"/>
  <c r="J6" i="48" s="1"/>
  <c r="K6" i="48" s="1"/>
  <c r="L6" i="48" s="1"/>
  <c r="M6" i="48" s="1"/>
  <c r="N6" i="48" s="1"/>
  <c r="O6" i="48" s="1"/>
  <c r="P6" i="48" s="1"/>
  <c r="Q6" i="48" s="1"/>
  <c r="R6" i="48" s="1"/>
  <c r="S6" i="48" s="1"/>
  <c r="T6" i="48" s="1"/>
  <c r="U6" i="48" s="1"/>
  <c r="V6" i="48" s="1"/>
  <c r="W6" i="48" s="1"/>
  <c r="X6" i="48" s="1"/>
  <c r="Y6" i="48" s="1"/>
  <c r="Z6" i="48" s="1"/>
  <c r="AA6" i="48" s="1"/>
  <c r="AB6" i="48" s="1"/>
  <c r="D11" i="47" l="1"/>
  <c r="D93" i="47"/>
  <c r="E23" i="46"/>
  <c r="E63" i="46" s="1"/>
  <c r="E97" i="46"/>
  <c r="E86" i="46"/>
  <c r="E75" i="46"/>
  <c r="F53" i="46"/>
  <c r="E60" i="46"/>
  <c r="E62" i="46" s="1"/>
  <c r="F14" i="46"/>
  <c r="F23" i="46" s="1"/>
  <c r="F63" i="46" s="1"/>
  <c r="I20" i="46"/>
  <c r="Q69" i="46"/>
  <c r="R37" i="46"/>
  <c r="E7" i="46"/>
  <c r="E49" i="46" s="1"/>
  <c r="E59" i="46" s="1"/>
  <c r="E8" i="46"/>
  <c r="E48" i="46" s="1"/>
  <c r="D10" i="46"/>
  <c r="D11" i="46" s="1"/>
  <c r="D86" i="46"/>
  <c r="D75" i="46"/>
  <c r="D97" i="46"/>
  <c r="E53" i="46"/>
  <c r="E70" i="46"/>
  <c r="D71" i="46"/>
  <c r="D93" i="46"/>
  <c r="AB103" i="46"/>
  <c r="F70" i="47"/>
  <c r="F8" i="47"/>
  <c r="F48" i="47" s="1"/>
  <c r="E21" i="47"/>
  <c r="D97" i="47"/>
  <c r="D86" i="47"/>
  <c r="D75" i="47"/>
  <c r="E53" i="47"/>
  <c r="E7" i="47"/>
  <c r="E48" i="47"/>
  <c r="E14" i="47"/>
  <c r="E23" i="47" s="1"/>
  <c r="E63" i="47" s="1"/>
  <c r="G20" i="47"/>
  <c r="R37" i="47"/>
  <c r="D82" i="47"/>
  <c r="AB103" i="47"/>
  <c r="D93" i="48"/>
  <c r="G7" i="48"/>
  <c r="E49" i="48"/>
  <c r="E59" i="48" s="1"/>
  <c r="D97" i="48"/>
  <c r="D86" i="48"/>
  <c r="D75" i="48"/>
  <c r="E53" i="48"/>
  <c r="F20" i="48"/>
  <c r="E63" i="48"/>
  <c r="E97" i="48"/>
  <c r="E86" i="48"/>
  <c r="E75" i="48"/>
  <c r="E60" i="48"/>
  <c r="E62" i="48" s="1"/>
  <c r="F49" i="48"/>
  <c r="F59" i="48" s="1"/>
  <c r="F53" i="48"/>
  <c r="E48" i="48"/>
  <c r="D10" i="48"/>
  <c r="D11" i="48" s="1"/>
  <c r="F14" i="48"/>
  <c r="F23" i="48" s="1"/>
  <c r="F63" i="48" s="1"/>
  <c r="D16" i="48"/>
  <c r="E70" i="48"/>
  <c r="R37" i="48"/>
  <c r="D82" i="48"/>
  <c r="AB103" i="48"/>
  <c r="H53" i="49"/>
  <c r="H52" i="49"/>
  <c r="H49" i="49"/>
  <c r="H41" i="49"/>
  <c r="H40" i="49"/>
  <c r="H35" i="49"/>
  <c r="G81" i="49"/>
  <c r="G80" i="49"/>
  <c r="I65" i="49"/>
  <c r="H65" i="49"/>
  <c r="G79" i="49" s="1"/>
  <c r="O27" i="49"/>
  <c r="I26" i="49"/>
  <c r="J25" i="49"/>
  <c r="M24" i="49"/>
  <c r="I22" i="49"/>
  <c r="M21" i="49"/>
  <c r="L17" i="49"/>
  <c r="L27" i="49" s="1"/>
  <c r="I15" i="49"/>
  <c r="I14" i="49"/>
  <c r="J13" i="49"/>
  <c r="J12" i="49"/>
  <c r="I10" i="49"/>
  <c r="K9" i="49"/>
  <c r="K27" i="49" s="1"/>
  <c r="I8" i="49"/>
  <c r="G65" i="44"/>
  <c r="E65" i="44"/>
  <c r="D65" i="44"/>
  <c r="E61" i="44"/>
  <c r="E47" i="44"/>
  <c r="E40" i="44"/>
  <c r="D40" i="44"/>
  <c r="D23" i="44"/>
  <c r="E22" i="44"/>
  <c r="D22" i="44"/>
  <c r="E21" i="44"/>
  <c r="D21" i="44"/>
  <c r="E17" i="44"/>
  <c r="D10" i="44"/>
  <c r="D11" i="44" s="1"/>
  <c r="E9" i="44"/>
  <c r="G57" i="44" s="1"/>
  <c r="E6" i="44"/>
  <c r="J127" i="43"/>
  <c r="H127" i="43"/>
  <c r="D127" i="43"/>
  <c r="F127" i="43" s="1"/>
  <c r="I113" i="43"/>
  <c r="H93" i="43"/>
  <c r="H101" i="43" s="1"/>
  <c r="I86" i="43"/>
  <c r="E86" i="43"/>
  <c r="H81" i="43"/>
  <c r="H80" i="43"/>
  <c r="D80" i="43"/>
  <c r="D93" i="43" s="1"/>
  <c r="H69" i="43"/>
  <c r="D66" i="43"/>
  <c r="D67" i="43" s="1"/>
  <c r="H65" i="43"/>
  <c r="H66" i="43" s="1"/>
  <c r="D65" i="43"/>
  <c r="J56" i="43"/>
  <c r="F56" i="43"/>
  <c r="J55" i="43"/>
  <c r="H55" i="43"/>
  <c r="H56" i="43" s="1"/>
  <c r="F55" i="43"/>
  <c r="D55" i="43"/>
  <c r="D56" i="43" s="1"/>
  <c r="G49" i="43"/>
  <c r="I49" i="43" s="1"/>
  <c r="D49" i="43"/>
  <c r="F49" i="43" s="1"/>
  <c r="G48" i="43"/>
  <c r="I48" i="43" s="1"/>
  <c r="D48" i="43"/>
  <c r="F48" i="43" s="1"/>
  <c r="G47" i="43"/>
  <c r="I47" i="43" s="1"/>
  <c r="D47" i="43"/>
  <c r="F47" i="43" s="1"/>
  <c r="G44" i="43"/>
  <c r="I44" i="43" s="1"/>
  <c r="D44" i="43"/>
  <c r="F44" i="43" s="1"/>
  <c r="G43" i="43"/>
  <c r="I43" i="43" s="1"/>
  <c r="D43" i="43"/>
  <c r="F43" i="43" s="1"/>
  <c r="G42" i="43"/>
  <c r="I42" i="43" s="1"/>
  <c r="D42" i="43"/>
  <c r="F42" i="43" s="1"/>
  <c r="G39" i="43"/>
  <c r="I39" i="43" s="1"/>
  <c r="D39" i="43"/>
  <c r="F39" i="43" s="1"/>
  <c r="G38" i="43"/>
  <c r="I38" i="43" s="1"/>
  <c r="D38" i="43"/>
  <c r="F38" i="43" s="1"/>
  <c r="G37" i="43"/>
  <c r="I37" i="43" s="1"/>
  <c r="D37" i="43"/>
  <c r="F37" i="43" s="1"/>
  <c r="F32" i="43"/>
  <c r="I31" i="43"/>
  <c r="I30" i="43"/>
  <c r="F30" i="43"/>
  <c r="I21" i="43"/>
  <c r="I23" i="43" s="1"/>
  <c r="F21" i="43"/>
  <c r="F31" i="43" s="1"/>
  <c r="F15" i="43"/>
  <c r="E15" i="43"/>
  <c r="D15" i="43"/>
  <c r="F14" i="43"/>
  <c r="E14" i="43"/>
  <c r="D14" i="43"/>
  <c r="F13" i="43"/>
  <c r="E13" i="43"/>
  <c r="D13" i="43"/>
  <c r="F12" i="43"/>
  <c r="E12" i="43"/>
  <c r="D12" i="43"/>
  <c r="F11" i="43"/>
  <c r="E11" i="43"/>
  <c r="D11" i="43"/>
  <c r="F10" i="43"/>
  <c r="E10" i="43"/>
  <c r="D10" i="43"/>
  <c r="F9" i="43"/>
  <c r="E9" i="43"/>
  <c r="D9" i="43"/>
  <c r="F8" i="43"/>
  <c r="E8" i="43"/>
  <c r="D8" i="43"/>
  <c r="F7" i="43"/>
  <c r="E7" i="43"/>
  <c r="D7" i="43"/>
  <c r="E52" i="42"/>
  <c r="F52" i="42" s="1"/>
  <c r="G52" i="42" s="1"/>
  <c r="H52" i="42" s="1"/>
  <c r="H48" i="42"/>
  <c r="H54" i="42" s="1"/>
  <c r="G48" i="42"/>
  <c r="G54" i="42" s="1"/>
  <c r="F48" i="42"/>
  <c r="F54" i="42" s="1"/>
  <c r="E48" i="42"/>
  <c r="E54" i="42" s="1"/>
  <c r="D48" i="42"/>
  <c r="D54" i="42" s="1"/>
  <c r="I45" i="42"/>
  <c r="I53" i="42" s="1"/>
  <c r="H45" i="42"/>
  <c r="H47" i="42" s="1"/>
  <c r="G45" i="42"/>
  <c r="G47" i="42" s="1"/>
  <c r="F45" i="42"/>
  <c r="F47" i="42" s="1"/>
  <c r="E45" i="42"/>
  <c r="E53" i="42" s="1"/>
  <c r="D45" i="42"/>
  <c r="D47" i="42" s="1"/>
  <c r="D44" i="42"/>
  <c r="I43" i="42"/>
  <c r="H43" i="42"/>
  <c r="G43" i="42"/>
  <c r="F43" i="42"/>
  <c r="E43" i="42"/>
  <c r="D43" i="42"/>
  <c r="H42" i="42"/>
  <c r="G42" i="42"/>
  <c r="F42" i="42"/>
  <c r="E42" i="42"/>
  <c r="D42" i="42"/>
  <c r="E39" i="42"/>
  <c r="F39" i="42" s="1"/>
  <c r="G39" i="42" s="1"/>
  <c r="H39" i="42" s="1"/>
  <c r="I34" i="42"/>
  <c r="I44" i="42" s="1"/>
  <c r="H34" i="42"/>
  <c r="H44" i="42" s="1"/>
  <c r="G34" i="42"/>
  <c r="G44" i="42" s="1"/>
  <c r="F34" i="42"/>
  <c r="F44" i="42" s="1"/>
  <c r="E34" i="42"/>
  <c r="E44" i="42" s="1"/>
  <c r="D34" i="42"/>
  <c r="I33" i="42"/>
  <c r="H33" i="42"/>
  <c r="G33" i="42"/>
  <c r="F33" i="42"/>
  <c r="E33" i="42"/>
  <c r="D33" i="42"/>
  <c r="H32" i="42"/>
  <c r="I32" i="42" s="1"/>
  <c r="G32" i="42"/>
  <c r="F32" i="42"/>
  <c r="E32" i="42"/>
  <c r="D32" i="42"/>
  <c r="E31" i="42"/>
  <c r="E36" i="42" s="1"/>
  <c r="D31" i="42"/>
  <c r="D36" i="42" s="1"/>
  <c r="F29" i="42"/>
  <c r="G29" i="42" s="1"/>
  <c r="H29" i="42" s="1"/>
  <c r="E29" i="42"/>
  <c r="E21" i="42"/>
  <c r="E22" i="42" s="1"/>
  <c r="I20" i="42"/>
  <c r="I48" i="42" s="1"/>
  <c r="I54" i="42" s="1"/>
  <c r="H19" i="42"/>
  <c r="H21" i="42" s="1"/>
  <c r="H22" i="42" s="1"/>
  <c r="G19" i="42"/>
  <c r="G31" i="42" s="1"/>
  <c r="F19" i="42"/>
  <c r="F31" i="42" s="1"/>
  <c r="E19" i="42"/>
  <c r="D19" i="42"/>
  <c r="D21" i="42" s="1"/>
  <c r="D22" i="42" s="1"/>
  <c r="I18" i="42"/>
  <c r="I42" i="42" s="1"/>
  <c r="I17" i="42"/>
  <c r="I16" i="42"/>
  <c r="I29" i="42" s="1"/>
  <c r="I39" i="42" s="1"/>
  <c r="I52" i="42" s="1"/>
  <c r="E16" i="42"/>
  <c r="F16" i="42" s="1"/>
  <c r="G16" i="42" s="1"/>
  <c r="H16" i="42" s="1"/>
  <c r="C13" i="42"/>
  <c r="I8" i="42"/>
  <c r="I12" i="42" s="1"/>
  <c r="I13" i="42" s="1"/>
  <c r="C7" i="42"/>
  <c r="C8" i="42" s="1"/>
  <c r="D6" i="42"/>
  <c r="E6" i="42" s="1"/>
  <c r="E3" i="42"/>
  <c r="F3" i="42" s="1"/>
  <c r="G3" i="42" s="1"/>
  <c r="H3" i="42" s="1"/>
  <c r="J173" i="39"/>
  <c r="E173" i="39"/>
  <c r="D173" i="39"/>
  <c r="C173" i="39"/>
  <c r="B173" i="39"/>
  <c r="J172" i="39"/>
  <c r="F172" i="39"/>
  <c r="E172" i="39"/>
  <c r="D172" i="39"/>
  <c r="C172" i="39"/>
  <c r="B172" i="39"/>
  <c r="H170" i="39"/>
  <c r="G170" i="39"/>
  <c r="F170" i="39"/>
  <c r="I168" i="39"/>
  <c r="H168" i="39"/>
  <c r="G168" i="39"/>
  <c r="F168" i="39"/>
  <c r="I167" i="39"/>
  <c r="H167" i="39"/>
  <c r="G167" i="39"/>
  <c r="F167" i="39"/>
  <c r="I166" i="39"/>
  <c r="H166" i="39"/>
  <c r="G166" i="39"/>
  <c r="F166" i="39"/>
  <c r="I165" i="39"/>
  <c r="H165" i="39"/>
  <c r="G165" i="39"/>
  <c r="F165" i="39"/>
  <c r="I162" i="39"/>
  <c r="H162" i="39"/>
  <c r="G162" i="39"/>
  <c r="F162" i="39"/>
  <c r="I161" i="39"/>
  <c r="H161" i="39"/>
  <c r="G161" i="39"/>
  <c r="F161" i="39"/>
  <c r="I160" i="39"/>
  <c r="H160" i="39"/>
  <c r="G160" i="39"/>
  <c r="F160" i="39"/>
  <c r="I159" i="39"/>
  <c r="H159" i="39"/>
  <c r="G159" i="39"/>
  <c r="F159" i="39"/>
  <c r="I158" i="39"/>
  <c r="H158" i="39"/>
  <c r="G158" i="39"/>
  <c r="F158" i="39"/>
  <c r="I157" i="39"/>
  <c r="H157" i="39"/>
  <c r="G157" i="39"/>
  <c r="F157" i="39"/>
  <c r="I156" i="39"/>
  <c r="H156" i="39"/>
  <c r="G156" i="39"/>
  <c r="F156" i="39"/>
  <c r="I155" i="39"/>
  <c r="H155" i="39"/>
  <c r="G155" i="39"/>
  <c r="F155" i="39"/>
  <c r="I154" i="39"/>
  <c r="H154" i="39"/>
  <c r="G154" i="39"/>
  <c r="F154" i="39"/>
  <c r="I153" i="39"/>
  <c r="H153" i="39"/>
  <c r="G153" i="39"/>
  <c r="F153" i="39"/>
  <c r="I152" i="39"/>
  <c r="H152" i="39"/>
  <c r="G152" i="39"/>
  <c r="F152" i="39"/>
  <c r="I151" i="39"/>
  <c r="I172" i="39" s="1"/>
  <c r="H151" i="39"/>
  <c r="H173" i="39" s="1"/>
  <c r="G151" i="39"/>
  <c r="G173" i="39" s="1"/>
  <c r="F151" i="39"/>
  <c r="F173" i="39" s="1"/>
  <c r="J146" i="39"/>
  <c r="F146" i="39"/>
  <c r="E146" i="39"/>
  <c r="D146" i="39"/>
  <c r="C146" i="39"/>
  <c r="B146" i="39"/>
  <c r="J145" i="39"/>
  <c r="E145" i="39"/>
  <c r="D145" i="39"/>
  <c r="C145" i="39"/>
  <c r="B145" i="39"/>
  <c r="I143" i="39"/>
  <c r="H143" i="39"/>
  <c r="G143" i="39"/>
  <c r="F143" i="39"/>
  <c r="I141" i="39"/>
  <c r="H141" i="39"/>
  <c r="G141" i="39"/>
  <c r="F141" i="39"/>
  <c r="I140" i="39"/>
  <c r="H140" i="39"/>
  <c r="G140" i="39"/>
  <c r="F140" i="39"/>
  <c r="I139" i="39"/>
  <c r="H139" i="39"/>
  <c r="G139" i="39"/>
  <c r="F139" i="39"/>
  <c r="I138" i="39"/>
  <c r="H138" i="39"/>
  <c r="G138" i="39"/>
  <c r="F138" i="39"/>
  <c r="I136" i="39"/>
  <c r="H136" i="39"/>
  <c r="G136" i="39"/>
  <c r="F136" i="39"/>
  <c r="I135" i="39"/>
  <c r="H135" i="39"/>
  <c r="G135" i="39"/>
  <c r="F135" i="39"/>
  <c r="I134" i="39"/>
  <c r="H134" i="39"/>
  <c r="G134" i="39"/>
  <c r="F134" i="39"/>
  <c r="I133" i="39"/>
  <c r="H133" i="39"/>
  <c r="G133" i="39"/>
  <c r="F133" i="39"/>
  <c r="I132" i="39"/>
  <c r="H132" i="39"/>
  <c r="G132" i="39"/>
  <c r="F132" i="39"/>
  <c r="I131" i="39"/>
  <c r="H131" i="39"/>
  <c r="G131" i="39"/>
  <c r="F131" i="39"/>
  <c r="I130" i="39"/>
  <c r="H130" i="39"/>
  <c r="G130" i="39"/>
  <c r="F130" i="39"/>
  <c r="I129" i="39"/>
  <c r="H129" i="39"/>
  <c r="G129" i="39"/>
  <c r="F129" i="39"/>
  <c r="I128" i="39"/>
  <c r="H128" i="39"/>
  <c r="G128" i="39"/>
  <c r="F128" i="39"/>
  <c r="I127" i="39"/>
  <c r="H127" i="39"/>
  <c r="G127" i="39"/>
  <c r="F127" i="39"/>
  <c r="I126" i="39"/>
  <c r="H126" i="39"/>
  <c r="G126" i="39"/>
  <c r="F126" i="39"/>
  <c r="I125" i="39"/>
  <c r="H125" i="39"/>
  <c r="G125" i="39"/>
  <c r="F125" i="39"/>
  <c r="I124" i="39"/>
  <c r="I146" i="39" s="1"/>
  <c r="H124" i="39"/>
  <c r="H146" i="39" s="1"/>
  <c r="G124" i="39"/>
  <c r="G145" i="39" s="1"/>
  <c r="F124" i="39"/>
  <c r="F145" i="39" s="1"/>
  <c r="J119" i="39"/>
  <c r="H119" i="39"/>
  <c r="E119" i="39"/>
  <c r="D119" i="39"/>
  <c r="C119" i="39"/>
  <c r="B119" i="39"/>
  <c r="J118" i="39"/>
  <c r="E118" i="39"/>
  <c r="D118" i="39"/>
  <c r="C118" i="39"/>
  <c r="B118" i="39"/>
  <c r="I116" i="39"/>
  <c r="H116" i="39"/>
  <c r="G116" i="39"/>
  <c r="F116" i="39"/>
  <c r="I115" i="39"/>
  <c r="H115" i="39"/>
  <c r="G115" i="39"/>
  <c r="F115" i="39"/>
  <c r="I114" i="39"/>
  <c r="H114" i="39"/>
  <c r="G114" i="39"/>
  <c r="F114" i="39"/>
  <c r="I113" i="39"/>
  <c r="H113" i="39"/>
  <c r="G113" i="39"/>
  <c r="F113" i="39"/>
  <c r="I112" i="39"/>
  <c r="H112" i="39"/>
  <c r="G112" i="39"/>
  <c r="F112" i="39"/>
  <c r="I111" i="39"/>
  <c r="H111" i="39"/>
  <c r="G111" i="39"/>
  <c r="F111" i="39"/>
  <c r="I110" i="39"/>
  <c r="H110" i="39"/>
  <c r="G110" i="39"/>
  <c r="F110" i="39"/>
  <c r="I109" i="39"/>
  <c r="H109" i="39"/>
  <c r="G109" i="39"/>
  <c r="F109" i="39"/>
  <c r="I108" i="39"/>
  <c r="H108" i="39"/>
  <c r="G108" i="39"/>
  <c r="F108" i="39"/>
  <c r="I107" i="39"/>
  <c r="H107" i="39"/>
  <c r="G107" i="39"/>
  <c r="F107" i="39"/>
  <c r="I106" i="39"/>
  <c r="H106" i="39"/>
  <c r="G106" i="39"/>
  <c r="F106" i="39"/>
  <c r="I105" i="39"/>
  <c r="H105" i="39"/>
  <c r="G105" i="39"/>
  <c r="F105" i="39"/>
  <c r="I104" i="39"/>
  <c r="H104" i="39"/>
  <c r="G104" i="39"/>
  <c r="F104" i="39"/>
  <c r="I103" i="39"/>
  <c r="H103" i="39"/>
  <c r="G103" i="39"/>
  <c r="F103" i="39"/>
  <c r="I102" i="39"/>
  <c r="H102" i="39"/>
  <c r="G102" i="39"/>
  <c r="F102" i="39"/>
  <c r="I101" i="39"/>
  <c r="H101" i="39"/>
  <c r="G101" i="39"/>
  <c r="F101" i="39"/>
  <c r="I100" i="39"/>
  <c r="H100" i="39"/>
  <c r="G100" i="39"/>
  <c r="F100" i="39"/>
  <c r="I99" i="39"/>
  <c r="H99" i="39"/>
  <c r="G99" i="39"/>
  <c r="F99" i="39"/>
  <c r="I98" i="39"/>
  <c r="H98" i="39"/>
  <c r="G98" i="39"/>
  <c r="F98" i="39"/>
  <c r="I97" i="39"/>
  <c r="I118" i="39" s="1"/>
  <c r="H97" i="39"/>
  <c r="H118" i="39" s="1"/>
  <c r="G97" i="39"/>
  <c r="G119" i="39" s="1"/>
  <c r="F97" i="39"/>
  <c r="F119" i="39" s="1"/>
  <c r="J91" i="39"/>
  <c r="F91" i="39"/>
  <c r="E91" i="39"/>
  <c r="D91" i="39"/>
  <c r="C91" i="39"/>
  <c r="B91" i="39"/>
  <c r="J90" i="39"/>
  <c r="E90" i="39"/>
  <c r="D90" i="39"/>
  <c r="C90" i="39"/>
  <c r="B90" i="39"/>
  <c r="I88" i="39"/>
  <c r="H88" i="39"/>
  <c r="G88" i="39"/>
  <c r="F88" i="39"/>
  <c r="I87" i="39"/>
  <c r="H87" i="39"/>
  <c r="G87" i="39"/>
  <c r="F87" i="39"/>
  <c r="I86" i="39"/>
  <c r="H86" i="39"/>
  <c r="G86" i="39"/>
  <c r="F86" i="39"/>
  <c r="I85" i="39"/>
  <c r="H85" i="39"/>
  <c r="G85" i="39"/>
  <c r="F85" i="39"/>
  <c r="I84" i="39"/>
  <c r="H84" i="39"/>
  <c r="G84" i="39"/>
  <c r="F84" i="39"/>
  <c r="I83" i="39"/>
  <c r="H83" i="39"/>
  <c r="G83" i="39"/>
  <c r="F83" i="39"/>
  <c r="I82" i="39"/>
  <c r="H82" i="39"/>
  <c r="G82" i="39"/>
  <c r="F82" i="39"/>
  <c r="I81" i="39"/>
  <c r="H81" i="39"/>
  <c r="G81" i="39"/>
  <c r="F81" i="39"/>
  <c r="I80" i="39"/>
  <c r="H80" i="39"/>
  <c r="G80" i="39"/>
  <c r="F80" i="39"/>
  <c r="I79" i="39"/>
  <c r="H79" i="39"/>
  <c r="G79" i="39"/>
  <c r="F79" i="39"/>
  <c r="I78" i="39"/>
  <c r="H78" i="39"/>
  <c r="G78" i="39"/>
  <c r="F78" i="39"/>
  <c r="I77" i="39"/>
  <c r="H77" i="39"/>
  <c r="G77" i="39"/>
  <c r="F77" i="39"/>
  <c r="I76" i="39"/>
  <c r="H76" i="39"/>
  <c r="G76" i="39"/>
  <c r="F76" i="39"/>
  <c r="I75" i="39"/>
  <c r="H75" i="39"/>
  <c r="G75" i="39"/>
  <c r="F75" i="39"/>
  <c r="I74" i="39"/>
  <c r="H74" i="39"/>
  <c r="G74" i="39"/>
  <c r="F74" i="39"/>
  <c r="I73" i="39"/>
  <c r="H73" i="39"/>
  <c r="G73" i="39"/>
  <c r="F73" i="39"/>
  <c r="I72" i="39"/>
  <c r="H72" i="39"/>
  <c r="G72" i="39"/>
  <c r="F72" i="39"/>
  <c r="I71" i="39"/>
  <c r="H71" i="39"/>
  <c r="G71" i="39"/>
  <c r="F71" i="39"/>
  <c r="I70" i="39"/>
  <c r="H70" i="39"/>
  <c r="G70" i="39"/>
  <c r="F70" i="39"/>
  <c r="I69" i="39"/>
  <c r="I91" i="39" s="1"/>
  <c r="H69" i="39"/>
  <c r="H91" i="39" s="1"/>
  <c r="G69" i="39"/>
  <c r="G90" i="39" s="1"/>
  <c r="F69" i="39"/>
  <c r="F90" i="39" s="1"/>
  <c r="F63" i="39"/>
  <c r="E62" i="39"/>
  <c r="D62" i="39"/>
  <c r="C62" i="39"/>
  <c r="B62" i="39"/>
  <c r="F62" i="39" s="1"/>
  <c r="E61" i="39"/>
  <c r="D61" i="39"/>
  <c r="C61" i="39"/>
  <c r="B61" i="39"/>
  <c r="F61" i="39" s="1"/>
  <c r="F60" i="39"/>
  <c r="F59" i="39"/>
  <c r="F58" i="39"/>
  <c r="F57" i="39"/>
  <c r="F56" i="39"/>
  <c r="F55" i="39"/>
  <c r="I18" i="40"/>
  <c r="B9" i="40"/>
  <c r="C7" i="40"/>
  <c r="C6" i="40"/>
  <c r="C5" i="40"/>
  <c r="C35" i="40"/>
  <c r="C39" i="40" s="1"/>
  <c r="C34" i="40"/>
  <c r="H105" i="41"/>
  <c r="G105" i="41"/>
  <c r="F105" i="41"/>
  <c r="E105" i="41"/>
  <c r="D105" i="41"/>
  <c r="C105" i="41"/>
  <c r="H89" i="41"/>
  <c r="H106" i="41" s="1"/>
  <c r="G89" i="41"/>
  <c r="G106" i="41" s="1"/>
  <c r="F89" i="41"/>
  <c r="F106" i="41" s="1"/>
  <c r="E89" i="41"/>
  <c r="E106" i="41" s="1"/>
  <c r="D89" i="41"/>
  <c r="D106" i="41" s="1"/>
  <c r="C89" i="41"/>
  <c r="C106" i="41" s="1"/>
  <c r="E7" i="42" l="1"/>
  <c r="E8" i="42" s="1"/>
  <c r="E12" i="42" s="1"/>
  <c r="E13" i="42" s="1"/>
  <c r="F6" i="42"/>
  <c r="F7" i="42" s="1"/>
  <c r="F8" i="42" s="1"/>
  <c r="F12" i="42" s="1"/>
  <c r="F13" i="42" s="1"/>
  <c r="D7" i="42"/>
  <c r="D8" i="42" s="1"/>
  <c r="D12" i="42" s="1"/>
  <c r="D13" i="42" s="1"/>
  <c r="H31" i="42"/>
  <c r="H36" i="42" s="1"/>
  <c r="E56" i="42"/>
  <c r="I19" i="42"/>
  <c r="I21" i="42" s="1"/>
  <c r="F53" i="42"/>
  <c r="G53" i="42"/>
  <c r="F7" i="46"/>
  <c r="F49" i="46" s="1"/>
  <c r="F59" i="46" s="1"/>
  <c r="R69" i="46"/>
  <c r="S37" i="46"/>
  <c r="J20" i="46"/>
  <c r="F70" i="46"/>
  <c r="E58" i="46"/>
  <c r="E21" i="46"/>
  <c r="F8" i="46"/>
  <c r="F48" i="46" s="1"/>
  <c r="F97" i="46"/>
  <c r="F86" i="46"/>
  <c r="F75" i="46"/>
  <c r="F60" i="46"/>
  <c r="F62" i="46" s="1"/>
  <c r="G53" i="46"/>
  <c r="G14" i="46"/>
  <c r="G23" i="46" s="1"/>
  <c r="G63" i="46" s="1"/>
  <c r="R69" i="47"/>
  <c r="S37" i="47"/>
  <c r="F7" i="47"/>
  <c r="F49" i="47" s="1"/>
  <c r="F59" i="47" s="1"/>
  <c r="E49" i="47"/>
  <c r="E59" i="47" s="1"/>
  <c r="F58" i="47"/>
  <c r="G8" i="47"/>
  <c r="G48" i="47" s="1"/>
  <c r="H20" i="47"/>
  <c r="G70" i="47"/>
  <c r="E97" i="47"/>
  <c r="E86" i="47"/>
  <c r="E75" i="47"/>
  <c r="E60" i="47"/>
  <c r="E62" i="47" s="1"/>
  <c r="F53" i="47"/>
  <c r="F14" i="47"/>
  <c r="F23" i="47" s="1"/>
  <c r="F63" i="47" s="1"/>
  <c r="E57" i="47"/>
  <c r="E47" i="47"/>
  <c r="F21" i="47"/>
  <c r="E22" i="47"/>
  <c r="E9" i="47"/>
  <c r="E10" i="47" s="1"/>
  <c r="E11" i="47" s="1"/>
  <c r="E15" i="47" s="1"/>
  <c r="E16" i="47" s="1"/>
  <c r="R69" i="48"/>
  <c r="S37" i="48"/>
  <c r="F70" i="48"/>
  <c r="E58" i="48"/>
  <c r="F8" i="48"/>
  <c r="F48" i="48" s="1"/>
  <c r="E21" i="48"/>
  <c r="H7" i="48"/>
  <c r="G20" i="48"/>
  <c r="F97" i="48"/>
  <c r="F60" i="48"/>
  <c r="F62" i="48" s="1"/>
  <c r="F75" i="48"/>
  <c r="G53" i="48"/>
  <c r="F86" i="48"/>
  <c r="G14" i="48"/>
  <c r="G23" i="48" s="1"/>
  <c r="G63" i="48" s="1"/>
  <c r="G49" i="48"/>
  <c r="G59" i="48" s="1"/>
  <c r="I27" i="49"/>
  <c r="M27" i="49"/>
  <c r="K55" i="43"/>
  <c r="L28" i="49"/>
  <c r="J27" i="49"/>
  <c r="K28" i="49" s="1"/>
  <c r="E10" i="44"/>
  <c r="E11" i="44" s="1"/>
  <c r="E45" i="44"/>
  <c r="D45" i="44"/>
  <c r="D46" i="44" s="1"/>
  <c r="E46" i="44"/>
  <c r="E48" i="44" s="1"/>
  <c r="E64" i="44" s="1"/>
  <c r="E66" i="44" s="1"/>
  <c r="E12" i="44"/>
  <c r="D12" i="44"/>
  <c r="D20" i="44" s="1"/>
  <c r="E20" i="44" s="1"/>
  <c r="D24" i="44"/>
  <c r="D31" i="44" s="1"/>
  <c r="K56" i="43"/>
  <c r="F23" i="43"/>
  <c r="H62" i="43"/>
  <c r="I65" i="43" s="1"/>
  <c r="J65" i="43" s="1"/>
  <c r="I32" i="43"/>
  <c r="D68" i="43"/>
  <c r="H82" i="43"/>
  <c r="H67" i="43"/>
  <c r="G56" i="43"/>
  <c r="D62" i="43"/>
  <c r="F93" i="43"/>
  <c r="D101" i="43"/>
  <c r="H112" i="43"/>
  <c r="H123" i="43" s="1"/>
  <c r="J123" i="43" s="1"/>
  <c r="G55" i="43"/>
  <c r="J93" i="43"/>
  <c r="D81" i="43"/>
  <c r="D82" i="43" s="1"/>
  <c r="D83" i="43" s="1"/>
  <c r="D84" i="43" s="1"/>
  <c r="G35" i="42"/>
  <c r="G36" i="42"/>
  <c r="G56" i="42"/>
  <c r="H56" i="42" s="1"/>
  <c r="I56" i="42" s="1"/>
  <c r="I22" i="42"/>
  <c r="I23" i="42" s="1"/>
  <c r="F35" i="42"/>
  <c r="F36" i="42"/>
  <c r="F56" i="42"/>
  <c r="D23" i="42"/>
  <c r="D41" i="42" s="1"/>
  <c r="D46" i="42" s="1"/>
  <c r="H23" i="42"/>
  <c r="H41" i="42" s="1"/>
  <c r="H46" i="42" s="1"/>
  <c r="H49" i="42" s="1"/>
  <c r="D35" i="42"/>
  <c r="H35" i="42"/>
  <c r="H37" i="42" s="1"/>
  <c r="E47" i="42"/>
  <c r="I47" i="42"/>
  <c r="E23" i="42"/>
  <c r="E41" i="42" s="1"/>
  <c r="E46" i="42" s="1"/>
  <c r="E49" i="42" s="1"/>
  <c r="I31" i="42"/>
  <c r="G6" i="42"/>
  <c r="F21" i="42"/>
  <c r="D53" i="42"/>
  <c r="D56" i="42" s="1"/>
  <c r="H53" i="42"/>
  <c r="E35" i="42"/>
  <c r="E37" i="42" s="1"/>
  <c r="G21" i="42"/>
  <c r="H90" i="39"/>
  <c r="G91" i="39"/>
  <c r="F118" i="39"/>
  <c r="I119" i="39"/>
  <c r="H145" i="39"/>
  <c r="G146" i="39"/>
  <c r="G172" i="39"/>
  <c r="I90" i="39"/>
  <c r="G118" i="39"/>
  <c r="I145" i="39"/>
  <c r="H172" i="39"/>
  <c r="I173" i="39"/>
  <c r="C9" i="40"/>
  <c r="E57" i="46" l="1"/>
  <c r="F21" i="46"/>
  <c r="E47" i="46"/>
  <c r="E9" i="46"/>
  <c r="E10" i="46" s="1"/>
  <c r="E11" i="46" s="1"/>
  <c r="E15" i="46" s="1"/>
  <c r="E16" i="46" s="1"/>
  <c r="E22" i="46"/>
  <c r="G7" i="46"/>
  <c r="G97" i="46"/>
  <c r="G86" i="46"/>
  <c r="G75" i="46"/>
  <c r="G60" i="46"/>
  <c r="G62" i="46" s="1"/>
  <c r="H53" i="46"/>
  <c r="H14" i="46"/>
  <c r="H23" i="46" s="1"/>
  <c r="H63" i="46" s="1"/>
  <c r="F58" i="46"/>
  <c r="G8" i="46"/>
  <c r="G48" i="46" s="1"/>
  <c r="K20" i="46"/>
  <c r="G70" i="46"/>
  <c r="S69" i="46"/>
  <c r="T37" i="46"/>
  <c r="I20" i="47"/>
  <c r="E46" i="47"/>
  <c r="E24" i="47"/>
  <c r="F97" i="47"/>
  <c r="F75" i="47"/>
  <c r="F86" i="47"/>
  <c r="G53" i="47"/>
  <c r="F60" i="47"/>
  <c r="F62" i="47" s="1"/>
  <c r="G14" i="47"/>
  <c r="H70" i="47"/>
  <c r="G58" i="47"/>
  <c r="H8" i="47"/>
  <c r="H48" i="47" s="1"/>
  <c r="S69" i="47"/>
  <c r="T37" i="47"/>
  <c r="F47" i="47"/>
  <c r="G21" i="47"/>
  <c r="F57" i="47"/>
  <c r="F9" i="47"/>
  <c r="F10" i="47" s="1"/>
  <c r="F11" i="47" s="1"/>
  <c r="F15" i="47" s="1"/>
  <c r="F16" i="47" s="1"/>
  <c r="F22" i="47"/>
  <c r="G7" i="47"/>
  <c r="G49" i="47" s="1"/>
  <c r="G59" i="47" s="1"/>
  <c r="I7" i="48"/>
  <c r="G70" i="48"/>
  <c r="G97" i="48"/>
  <c r="G86" i="48"/>
  <c r="G75" i="48"/>
  <c r="H53" i="48"/>
  <c r="G60" i="48"/>
  <c r="G62" i="48" s="1"/>
  <c r="H14" i="48"/>
  <c r="F58" i="48"/>
  <c r="G8" i="48"/>
  <c r="G48" i="48" s="1"/>
  <c r="H20" i="48"/>
  <c r="H49" i="48"/>
  <c r="H59" i="48" s="1"/>
  <c r="S69" i="48"/>
  <c r="T37" i="48"/>
  <c r="E57" i="48"/>
  <c r="E47" i="48"/>
  <c r="F21" i="48"/>
  <c r="E9" i="48"/>
  <c r="E10" i="48" s="1"/>
  <c r="E11" i="48" s="1"/>
  <c r="E15" i="48" s="1"/>
  <c r="E16" i="48" s="1"/>
  <c r="E22" i="48"/>
  <c r="I67" i="43"/>
  <c r="J67" i="43" s="1"/>
  <c r="D30" i="44"/>
  <c r="F50" i="44"/>
  <c r="E23" i="44"/>
  <c r="E27" i="44" s="1"/>
  <c r="F62" i="44" s="1"/>
  <c r="E24" i="44"/>
  <c r="I68" i="43"/>
  <c r="I66" i="43"/>
  <c r="J66" i="43" s="1"/>
  <c r="I64" i="43"/>
  <c r="J64" i="43" s="1"/>
  <c r="H79" i="43"/>
  <c r="H92" i="43" s="1"/>
  <c r="D79" i="43"/>
  <c r="E67" i="43"/>
  <c r="F67" i="43" s="1"/>
  <c r="E65" i="43"/>
  <c r="F65" i="43" s="1"/>
  <c r="E68" i="43"/>
  <c r="F68" i="43" s="1"/>
  <c r="E64" i="43"/>
  <c r="F64" i="43" s="1"/>
  <c r="E66" i="43"/>
  <c r="F66" i="43" s="1"/>
  <c r="D112" i="43"/>
  <c r="H83" i="43"/>
  <c r="H68" i="43"/>
  <c r="I25" i="42"/>
  <c r="I41" i="42"/>
  <c r="I46" i="42" s="1"/>
  <c r="I36" i="42"/>
  <c r="I35" i="42"/>
  <c r="C60" i="42"/>
  <c r="D37" i="42"/>
  <c r="G22" i="42"/>
  <c r="G23" i="42" s="1"/>
  <c r="G41" i="42" s="1"/>
  <c r="G46" i="42" s="1"/>
  <c r="G49" i="42" s="1"/>
  <c r="F23" i="42"/>
  <c r="F41" i="42" s="1"/>
  <c r="F46" i="42" s="1"/>
  <c r="F49" i="42" s="1"/>
  <c r="F22" i="42"/>
  <c r="F37" i="42"/>
  <c r="H6" i="42"/>
  <c r="H7" i="42" s="1"/>
  <c r="H8" i="42" s="1"/>
  <c r="H12" i="42" s="1"/>
  <c r="H13" i="42" s="1"/>
  <c r="G7" i="42"/>
  <c r="G8" i="42" s="1"/>
  <c r="G12" i="42" s="1"/>
  <c r="G13" i="42" s="1"/>
  <c r="D49" i="42"/>
  <c r="G37" i="42"/>
  <c r="D63" i="38"/>
  <c r="E63" i="38"/>
  <c r="F63" i="38"/>
  <c r="G63" i="38"/>
  <c r="H63" i="38"/>
  <c r="I63" i="38"/>
  <c r="C63" i="38"/>
  <c r="I64" i="38"/>
  <c r="I57" i="38"/>
  <c r="C56" i="38"/>
  <c r="D56" i="38"/>
  <c r="E56" i="38"/>
  <c r="F56" i="38"/>
  <c r="G56" i="38"/>
  <c r="H56" i="38"/>
  <c r="H57" i="38" s="1"/>
  <c r="I56" i="38"/>
  <c r="G53" i="38"/>
  <c r="F53" i="38" s="1"/>
  <c r="E53" i="38" s="1"/>
  <c r="D53" i="38" s="1"/>
  <c r="C53" i="38" s="1"/>
  <c r="H53" i="38"/>
  <c r="I53" i="38"/>
  <c r="C52" i="38"/>
  <c r="D52" i="38"/>
  <c r="E52" i="38"/>
  <c r="F52" i="38"/>
  <c r="G52" i="38"/>
  <c r="H52" i="38"/>
  <c r="I52" i="38"/>
  <c r="D49" i="38"/>
  <c r="E49" i="38"/>
  <c r="F49" i="38"/>
  <c r="G49" i="38"/>
  <c r="H49" i="38"/>
  <c r="I49" i="38"/>
  <c r="C49" i="38"/>
  <c r="J44" i="38"/>
  <c r="I44" i="38"/>
  <c r="H44" i="38"/>
  <c r="G44" i="38"/>
  <c r="F44" i="38"/>
  <c r="E44" i="38"/>
  <c r="D44" i="38"/>
  <c r="C44" i="38"/>
  <c r="B44" i="38"/>
  <c r="H49" i="46" l="1"/>
  <c r="H59" i="46" s="1"/>
  <c r="H7" i="46"/>
  <c r="T69" i="46"/>
  <c r="U37" i="46"/>
  <c r="L20" i="46"/>
  <c r="H97" i="46"/>
  <c r="H86" i="46"/>
  <c r="H75" i="46"/>
  <c r="I53" i="46"/>
  <c r="H60" i="46"/>
  <c r="H62" i="46" s="1"/>
  <c r="I14" i="46"/>
  <c r="G49" i="46"/>
  <c r="G59" i="46" s="1"/>
  <c r="F57" i="46"/>
  <c r="F47" i="46"/>
  <c r="G21" i="46"/>
  <c r="F9" i="46"/>
  <c r="F10" i="46" s="1"/>
  <c r="F11" i="46" s="1"/>
  <c r="F15" i="46" s="1"/>
  <c r="F16" i="46" s="1"/>
  <c r="F22" i="46"/>
  <c r="H70" i="46"/>
  <c r="G58" i="46"/>
  <c r="H8" i="46"/>
  <c r="H48" i="46" s="1"/>
  <c r="E24" i="46"/>
  <c r="E46" i="46"/>
  <c r="E25" i="47"/>
  <c r="E26" i="47" s="1"/>
  <c r="E56" i="47" s="1"/>
  <c r="E61" i="47" s="1"/>
  <c r="G57" i="47"/>
  <c r="G47" i="47"/>
  <c r="G9" i="47"/>
  <c r="G10" i="47" s="1"/>
  <c r="H21" i="47"/>
  <c r="G22" i="47"/>
  <c r="H58" i="47"/>
  <c r="I8" i="47"/>
  <c r="I48" i="47" s="1"/>
  <c r="E51" i="47"/>
  <c r="E50" i="47"/>
  <c r="G97" i="47"/>
  <c r="G86" i="47"/>
  <c r="G75" i="47"/>
  <c r="H53" i="47"/>
  <c r="G60" i="47"/>
  <c r="G62" i="47" s="1"/>
  <c r="H14" i="47"/>
  <c r="F24" i="47"/>
  <c r="F46" i="47"/>
  <c r="I70" i="47"/>
  <c r="J20" i="47"/>
  <c r="G23" i="47"/>
  <c r="G63" i="47" s="1"/>
  <c r="G11" i="47"/>
  <c r="G15" i="47" s="1"/>
  <c r="G16" i="47" s="1"/>
  <c r="H7" i="47"/>
  <c r="T69" i="47"/>
  <c r="U37" i="47"/>
  <c r="E46" i="48"/>
  <c r="E24" i="48"/>
  <c r="T69" i="48"/>
  <c r="U37" i="48"/>
  <c r="J7" i="48"/>
  <c r="F47" i="48"/>
  <c r="G21" i="48"/>
  <c r="F57" i="48"/>
  <c r="F9" i="48"/>
  <c r="F10" i="48" s="1"/>
  <c r="F11" i="48" s="1"/>
  <c r="F15" i="48" s="1"/>
  <c r="F16" i="48" s="1"/>
  <c r="F22" i="48"/>
  <c r="G58" i="48"/>
  <c r="H8" i="48"/>
  <c r="H97" i="48"/>
  <c r="H86" i="48"/>
  <c r="H75" i="48"/>
  <c r="H60" i="48"/>
  <c r="H62" i="48" s="1"/>
  <c r="I53" i="48"/>
  <c r="I14" i="48"/>
  <c r="I23" i="48" s="1"/>
  <c r="I63" i="48" s="1"/>
  <c r="I20" i="48"/>
  <c r="H23" i="48"/>
  <c r="H63" i="48" s="1"/>
  <c r="H70" i="48"/>
  <c r="I49" i="48"/>
  <c r="I59" i="48" s="1"/>
  <c r="G50" i="44"/>
  <c r="G55" i="44" s="1"/>
  <c r="G58" i="44" s="1"/>
  <c r="F55" i="44"/>
  <c r="F66" i="44" s="1"/>
  <c r="E31" i="44"/>
  <c r="G63" i="44" s="1"/>
  <c r="E30" i="44"/>
  <c r="D60" i="44" s="1"/>
  <c r="D64" i="44" s="1"/>
  <c r="D66" i="44" s="1"/>
  <c r="J97" i="43"/>
  <c r="H100" i="43"/>
  <c r="J92" i="43"/>
  <c r="J94" i="43" s="1"/>
  <c r="J96" i="43" s="1"/>
  <c r="H84" i="43"/>
  <c r="H86" i="43" s="1"/>
  <c r="J86" i="43" s="1"/>
  <c r="J88" i="43" s="1"/>
  <c r="J68" i="43"/>
  <c r="J70" i="43" s="1"/>
  <c r="J72" i="43" s="1"/>
  <c r="D92" i="43"/>
  <c r="D86" i="43"/>
  <c r="F86" i="43" s="1"/>
  <c r="F88" i="43" s="1"/>
  <c r="F70" i="43"/>
  <c r="F72" i="43" s="1"/>
  <c r="D123" i="43"/>
  <c r="F123" i="43" s="1"/>
  <c r="D61" i="42"/>
  <c r="I37" i="42"/>
  <c r="I49" i="42"/>
  <c r="E62" i="42"/>
  <c r="G57" i="38"/>
  <c r="F57" i="38" s="1"/>
  <c r="E57" i="38" s="1"/>
  <c r="D57" i="38" s="1"/>
  <c r="C57" i="38" s="1"/>
  <c r="C58" i="38" s="1"/>
  <c r="I67" i="38"/>
  <c r="I68" i="38" s="1"/>
  <c r="H64" i="38"/>
  <c r="H67" i="38" s="1"/>
  <c r="H68" i="38" s="1"/>
  <c r="C39" i="24"/>
  <c r="E25" i="46" l="1"/>
  <c r="E26" i="46" s="1"/>
  <c r="E56" i="46" s="1"/>
  <c r="E61" i="46" s="1"/>
  <c r="G57" i="46"/>
  <c r="G47" i="46"/>
  <c r="H21" i="46"/>
  <c r="G9" i="46"/>
  <c r="G10" i="46" s="1"/>
  <c r="G11" i="46" s="1"/>
  <c r="G15" i="46" s="1"/>
  <c r="G16" i="46" s="1"/>
  <c r="G22" i="46"/>
  <c r="I97" i="46"/>
  <c r="I86" i="46"/>
  <c r="I75" i="46"/>
  <c r="J53" i="46"/>
  <c r="I60" i="46"/>
  <c r="I62" i="46" s="1"/>
  <c r="J14" i="46"/>
  <c r="I23" i="46"/>
  <c r="I63" i="46" s="1"/>
  <c r="H58" i="46"/>
  <c r="I8" i="46"/>
  <c r="I48" i="46" s="1"/>
  <c r="I70" i="46"/>
  <c r="I7" i="46"/>
  <c r="E51" i="46"/>
  <c r="E50" i="46"/>
  <c r="E52" i="46" s="1"/>
  <c r="F24" i="46"/>
  <c r="F46" i="46"/>
  <c r="M20" i="46"/>
  <c r="U69" i="46"/>
  <c r="V37" i="46"/>
  <c r="E101" i="47"/>
  <c r="E64" i="47"/>
  <c r="E90" i="47" s="1"/>
  <c r="I7" i="47"/>
  <c r="K20" i="47"/>
  <c r="F26" i="47"/>
  <c r="F56" i="47" s="1"/>
  <c r="F61" i="47" s="1"/>
  <c r="F25" i="47"/>
  <c r="I58" i="47"/>
  <c r="J8" i="47"/>
  <c r="J48" i="47" s="1"/>
  <c r="G24" i="47"/>
  <c r="G46" i="47"/>
  <c r="F51" i="47"/>
  <c r="F50" i="47"/>
  <c r="U69" i="47"/>
  <c r="V37" i="47"/>
  <c r="H49" i="47"/>
  <c r="H59" i="47" s="1"/>
  <c r="J70" i="47"/>
  <c r="H97" i="47"/>
  <c r="H86" i="47"/>
  <c r="H75" i="47"/>
  <c r="I53" i="47"/>
  <c r="H60" i="47"/>
  <c r="H62" i="47" s="1"/>
  <c r="I14" i="47"/>
  <c r="H57" i="47"/>
  <c r="H47" i="47"/>
  <c r="H9" i="47"/>
  <c r="H10" i="47" s="1"/>
  <c r="H11" i="47" s="1"/>
  <c r="H15" i="47" s="1"/>
  <c r="H16" i="47" s="1"/>
  <c r="I21" i="47"/>
  <c r="H22" i="47"/>
  <c r="H23" i="47"/>
  <c r="H63" i="47" s="1"/>
  <c r="E52" i="47"/>
  <c r="F24" i="48"/>
  <c r="F46" i="48"/>
  <c r="U69" i="48"/>
  <c r="V37" i="48"/>
  <c r="J20" i="48"/>
  <c r="K7" i="48"/>
  <c r="E25" i="48"/>
  <c r="E26" i="48" s="1"/>
  <c r="E56" i="48" s="1"/>
  <c r="E61" i="48" s="1"/>
  <c r="H58" i="48"/>
  <c r="I8" i="48"/>
  <c r="I48" i="48" s="1"/>
  <c r="I70" i="48"/>
  <c r="I97" i="48"/>
  <c r="I86" i="48"/>
  <c r="I75" i="48"/>
  <c r="I60" i="48"/>
  <c r="I62" i="48" s="1"/>
  <c r="J53" i="48"/>
  <c r="J14" i="48"/>
  <c r="J23" i="48" s="1"/>
  <c r="J63" i="48" s="1"/>
  <c r="H48" i="48"/>
  <c r="H21" i="48"/>
  <c r="G57" i="48"/>
  <c r="G47" i="48"/>
  <c r="G9" i="48"/>
  <c r="G10" i="48" s="1"/>
  <c r="G11" i="48" s="1"/>
  <c r="G15" i="48" s="1"/>
  <c r="G16" i="48" s="1"/>
  <c r="G22" i="48"/>
  <c r="J49" i="48"/>
  <c r="J59" i="48" s="1"/>
  <c r="E51" i="48"/>
  <c r="E50" i="48"/>
  <c r="G64" i="44"/>
  <c r="G66" i="44" s="1"/>
  <c r="J107" i="43"/>
  <c r="H102" i="43"/>
  <c r="J100" i="43"/>
  <c r="H111" i="43"/>
  <c r="F92" i="43"/>
  <c r="F94" i="43" s="1"/>
  <c r="F96" i="43" s="1"/>
  <c r="F97" i="43"/>
  <c r="D100" i="43"/>
  <c r="G64" i="38"/>
  <c r="D34" i="24"/>
  <c r="E34" i="24"/>
  <c r="F34" i="24"/>
  <c r="G34" i="24"/>
  <c r="H34" i="24"/>
  <c r="I34" i="24"/>
  <c r="J34" i="24"/>
  <c r="K34" i="24"/>
  <c r="L34" i="24"/>
  <c r="M34" i="24"/>
  <c r="C34" i="24"/>
  <c r="D36" i="24"/>
  <c r="E36" i="24"/>
  <c r="F36" i="24"/>
  <c r="G36" i="24"/>
  <c r="H36" i="24"/>
  <c r="I36" i="24"/>
  <c r="J36" i="24"/>
  <c r="K36" i="24"/>
  <c r="L36" i="24"/>
  <c r="M36" i="24"/>
  <c r="C36" i="24"/>
  <c r="C19" i="24"/>
  <c r="D32" i="24"/>
  <c r="E32" i="24"/>
  <c r="F32" i="24"/>
  <c r="G32" i="24"/>
  <c r="H32" i="24"/>
  <c r="I32" i="24"/>
  <c r="J32" i="24"/>
  <c r="K32" i="24"/>
  <c r="L32" i="24"/>
  <c r="M32" i="24"/>
  <c r="C32" i="24"/>
  <c r="C35" i="24" s="1"/>
  <c r="G76" i="19"/>
  <c r="B93" i="19"/>
  <c r="C63" i="19"/>
  <c r="C18" i="16"/>
  <c r="D18" i="16"/>
  <c r="E18" i="16"/>
  <c r="F18" i="16"/>
  <c r="B18" i="16"/>
  <c r="H49" i="33"/>
  <c r="H40" i="33"/>
  <c r="H41" i="33"/>
  <c r="H39" i="33"/>
  <c r="I43" i="33"/>
  <c r="I40" i="33"/>
  <c r="I39" i="33"/>
  <c r="I36" i="33"/>
  <c r="E23" i="33"/>
  <c r="G30" i="33"/>
  <c r="G11" i="33"/>
  <c r="E101" i="46" l="1"/>
  <c r="E64" i="46"/>
  <c r="E90" i="46" s="1"/>
  <c r="E79" i="46"/>
  <c r="E54" i="46"/>
  <c r="E68" i="46" s="1"/>
  <c r="E71" i="46" s="1"/>
  <c r="J97" i="46"/>
  <c r="J75" i="46"/>
  <c r="J60" i="46"/>
  <c r="J62" i="46" s="1"/>
  <c r="J86" i="46"/>
  <c r="K14" i="46"/>
  <c r="K23" i="46" s="1"/>
  <c r="K63" i="46" s="1"/>
  <c r="K53" i="46"/>
  <c r="N20" i="46"/>
  <c r="J70" i="46"/>
  <c r="G46" i="46"/>
  <c r="G24" i="46"/>
  <c r="V69" i="46"/>
  <c r="W37" i="46"/>
  <c r="F51" i="46"/>
  <c r="F50" i="46"/>
  <c r="J7" i="46"/>
  <c r="F25" i="46"/>
  <c r="F26" i="46" s="1"/>
  <c r="F56" i="46" s="1"/>
  <c r="F61" i="46" s="1"/>
  <c r="I49" i="46"/>
  <c r="I59" i="46" s="1"/>
  <c r="I58" i="46"/>
  <c r="J8" i="46"/>
  <c r="J48" i="46" s="1"/>
  <c r="J23" i="46"/>
  <c r="J63" i="46" s="1"/>
  <c r="H57" i="46"/>
  <c r="I21" i="46"/>
  <c r="H47" i="46"/>
  <c r="H9" i="46"/>
  <c r="H10" i="46" s="1"/>
  <c r="H11" i="46" s="1"/>
  <c r="H15" i="46" s="1"/>
  <c r="H16" i="46" s="1"/>
  <c r="H22" i="46"/>
  <c r="H24" i="47"/>
  <c r="H46" i="47"/>
  <c r="F101" i="47"/>
  <c r="F64" i="47"/>
  <c r="F90" i="47" s="1"/>
  <c r="J7" i="47"/>
  <c r="J49" i="47" s="1"/>
  <c r="J59" i="47" s="1"/>
  <c r="I57" i="47"/>
  <c r="I47" i="47"/>
  <c r="I9" i="47"/>
  <c r="I10" i="47" s="1"/>
  <c r="I11" i="47" s="1"/>
  <c r="I15" i="47" s="1"/>
  <c r="I16" i="47" s="1"/>
  <c r="J21" i="47"/>
  <c r="I22" i="47"/>
  <c r="V69" i="47"/>
  <c r="W37" i="47"/>
  <c r="G51" i="47"/>
  <c r="G50" i="47"/>
  <c r="G52" i="47" s="1"/>
  <c r="L20" i="47"/>
  <c r="I49" i="47"/>
  <c r="I59" i="47" s="1"/>
  <c r="E79" i="47"/>
  <c r="E54" i="47"/>
  <c r="E68" i="47" s="1"/>
  <c r="E71" i="47" s="1"/>
  <c r="I97" i="47"/>
  <c r="I86" i="47"/>
  <c r="I75" i="47"/>
  <c r="I60" i="47"/>
  <c r="I62" i="47" s="1"/>
  <c r="J53" i="47"/>
  <c r="J14" i="47"/>
  <c r="J23" i="47" s="1"/>
  <c r="J63" i="47" s="1"/>
  <c r="K70" i="47"/>
  <c r="G25" i="47"/>
  <c r="G26" i="47" s="1"/>
  <c r="G56" i="47" s="1"/>
  <c r="G61" i="47" s="1"/>
  <c r="I23" i="47"/>
  <c r="I63" i="47" s="1"/>
  <c r="F52" i="47"/>
  <c r="J58" i="47"/>
  <c r="K8" i="47"/>
  <c r="K48" i="47" s="1"/>
  <c r="G24" i="48"/>
  <c r="G46" i="48"/>
  <c r="H57" i="48"/>
  <c r="H47" i="48"/>
  <c r="I21" i="48"/>
  <c r="H9" i="48"/>
  <c r="H10" i="48" s="1"/>
  <c r="H11" i="48" s="1"/>
  <c r="H15" i="48" s="1"/>
  <c r="H16" i="48" s="1"/>
  <c r="H22" i="48"/>
  <c r="L7" i="48"/>
  <c r="L49" i="48" s="1"/>
  <c r="L59" i="48" s="1"/>
  <c r="V69" i="48"/>
  <c r="W37" i="48"/>
  <c r="E52" i="48"/>
  <c r="I58" i="48"/>
  <c r="J8" i="48"/>
  <c r="J48" i="48" s="1"/>
  <c r="K49" i="48"/>
  <c r="K59" i="48" s="1"/>
  <c r="E101" i="48"/>
  <c r="E64" i="48"/>
  <c r="E90" i="48" s="1"/>
  <c r="K20" i="48"/>
  <c r="F50" i="48"/>
  <c r="F51" i="48"/>
  <c r="J97" i="48"/>
  <c r="J75" i="48"/>
  <c r="J60" i="48"/>
  <c r="J62" i="48" s="1"/>
  <c r="J86" i="48"/>
  <c r="K53" i="48"/>
  <c r="K14" i="48"/>
  <c r="J70" i="48"/>
  <c r="F25" i="48"/>
  <c r="F26" i="48" s="1"/>
  <c r="F56" i="48" s="1"/>
  <c r="F61" i="48" s="1"/>
  <c r="H113" i="43"/>
  <c r="J118" i="43" s="1"/>
  <c r="H103" i="43"/>
  <c r="H122" i="43"/>
  <c r="J122" i="43" s="1"/>
  <c r="J126" i="43" s="1"/>
  <c r="J128" i="43" s="1"/>
  <c r="J111" i="43"/>
  <c r="F107" i="43"/>
  <c r="D102" i="43"/>
  <c r="D103" i="43" s="1"/>
  <c r="F103" i="43" s="1"/>
  <c r="F105" i="43" s="1"/>
  <c r="F100" i="43"/>
  <c r="D111" i="43"/>
  <c r="G67" i="38"/>
  <c r="G68" i="38" s="1"/>
  <c r="F64" i="38"/>
  <c r="N63" i="23"/>
  <c r="B56" i="34"/>
  <c r="B53" i="34"/>
  <c r="B52" i="34"/>
  <c r="G51" i="34"/>
  <c r="F52" i="34"/>
  <c r="E52" i="34"/>
  <c r="D52" i="34"/>
  <c r="C52" i="34"/>
  <c r="E43" i="34"/>
  <c r="F43" i="34"/>
  <c r="C43" i="34"/>
  <c r="D43" i="34"/>
  <c r="B43" i="34"/>
  <c r="A45" i="34"/>
  <c r="A44" i="34"/>
  <c r="A43" i="34"/>
  <c r="E20" i="34"/>
  <c r="E21" i="34"/>
  <c r="G15" i="34"/>
  <c r="G17" i="34" s="1"/>
  <c r="G20" i="34" s="1"/>
  <c r="F15" i="34"/>
  <c r="F17" i="34" s="1"/>
  <c r="F20" i="34" s="1"/>
  <c r="E15" i="34"/>
  <c r="E17" i="34" s="1"/>
  <c r="D15" i="34"/>
  <c r="D17" i="34" s="1"/>
  <c r="D20" i="34" s="1"/>
  <c r="C11" i="34"/>
  <c r="C15" i="34" s="1"/>
  <c r="C17" i="34" s="1"/>
  <c r="C20" i="34" s="1"/>
  <c r="B11" i="34"/>
  <c r="B15" i="34" s="1"/>
  <c r="C8" i="34"/>
  <c r="G7" i="34"/>
  <c r="G9" i="34" s="1"/>
  <c r="F7" i="34"/>
  <c r="F9" i="34" s="1"/>
  <c r="E7" i="34"/>
  <c r="E9" i="34" s="1"/>
  <c r="D7" i="34"/>
  <c r="D9" i="34" s="1"/>
  <c r="C7" i="34"/>
  <c r="C9" i="34" s="1"/>
  <c r="B7" i="34"/>
  <c r="F101" i="46" l="1"/>
  <c r="F64" i="46"/>
  <c r="F90" i="46" s="1"/>
  <c r="I57" i="46"/>
  <c r="J21" i="46"/>
  <c r="I47" i="46"/>
  <c r="I9" i="46"/>
  <c r="I10" i="46" s="1"/>
  <c r="I11" i="46" s="1"/>
  <c r="I15" i="46" s="1"/>
  <c r="I16" i="46" s="1"/>
  <c r="I22" i="46"/>
  <c r="H24" i="46"/>
  <c r="H46" i="46"/>
  <c r="F52" i="46"/>
  <c r="G25" i="46"/>
  <c r="G26" i="46" s="1"/>
  <c r="G56" i="46" s="1"/>
  <c r="G61" i="46" s="1"/>
  <c r="K97" i="46"/>
  <c r="K86" i="46"/>
  <c r="K75" i="46"/>
  <c r="K60" i="46"/>
  <c r="K62" i="46" s="1"/>
  <c r="L14" i="46"/>
  <c r="L23" i="46" s="1"/>
  <c r="L63" i="46" s="1"/>
  <c r="L53" i="46"/>
  <c r="K7" i="46"/>
  <c r="K49" i="46" s="1"/>
  <c r="K59" i="46" s="1"/>
  <c r="G51" i="46"/>
  <c r="G50" i="46"/>
  <c r="G52" i="46" s="1"/>
  <c r="O20" i="46"/>
  <c r="J58" i="46"/>
  <c r="K48" i="46"/>
  <c r="K8" i="46"/>
  <c r="J49" i="46"/>
  <c r="J59" i="46" s="1"/>
  <c r="X37" i="46"/>
  <c r="W69" i="46"/>
  <c r="K70" i="46"/>
  <c r="G101" i="47"/>
  <c r="G64" i="47"/>
  <c r="G90" i="47" s="1"/>
  <c r="I46" i="47"/>
  <c r="I24" i="47"/>
  <c r="K21" i="47"/>
  <c r="J47" i="47"/>
  <c r="J57" i="47"/>
  <c r="J9" i="47"/>
  <c r="J10" i="47" s="1"/>
  <c r="J11" i="47" s="1"/>
  <c r="J15" i="47" s="1"/>
  <c r="J16" i="47" s="1"/>
  <c r="J22" i="47"/>
  <c r="M20" i="47"/>
  <c r="W69" i="47"/>
  <c r="X37" i="47"/>
  <c r="H51" i="47"/>
  <c r="H50" i="47"/>
  <c r="L70" i="47"/>
  <c r="G79" i="47"/>
  <c r="G54" i="47"/>
  <c r="G68" i="47" s="1"/>
  <c r="G71" i="47" s="1"/>
  <c r="K58" i="47"/>
  <c r="L8" i="47"/>
  <c r="L48" i="47" s="1"/>
  <c r="F79" i="47"/>
  <c r="F54" i="47"/>
  <c r="F68" i="47" s="1"/>
  <c r="F71" i="47" s="1"/>
  <c r="J97" i="47"/>
  <c r="J75" i="47"/>
  <c r="J86" i="47"/>
  <c r="K53" i="47"/>
  <c r="K14" i="47"/>
  <c r="J60" i="47"/>
  <c r="J62" i="47" s="1"/>
  <c r="K7" i="47"/>
  <c r="K49" i="47" s="1"/>
  <c r="K59" i="47" s="1"/>
  <c r="H25" i="47"/>
  <c r="H26" i="47" s="1"/>
  <c r="H56" i="47" s="1"/>
  <c r="H61" i="47" s="1"/>
  <c r="F101" i="48"/>
  <c r="F64" i="48"/>
  <c r="F90" i="48" s="1"/>
  <c r="W69" i="48"/>
  <c r="X37" i="48"/>
  <c r="K70" i="48"/>
  <c r="K97" i="48"/>
  <c r="K86" i="48"/>
  <c r="K75" i="48"/>
  <c r="K60" i="48"/>
  <c r="K62" i="48" s="1"/>
  <c r="L53" i="48"/>
  <c r="L14" i="48"/>
  <c r="F52" i="48"/>
  <c r="H24" i="48"/>
  <c r="H46" i="48"/>
  <c r="L20" i="48"/>
  <c r="M7" i="48"/>
  <c r="G51" i="48"/>
  <c r="G50" i="48"/>
  <c r="K23" i="48"/>
  <c r="K63" i="48" s="1"/>
  <c r="J58" i="48"/>
  <c r="K8" i="48"/>
  <c r="E79" i="48"/>
  <c r="E54" i="48"/>
  <c r="E68" i="48" s="1"/>
  <c r="E71" i="48" s="1"/>
  <c r="I57" i="48"/>
  <c r="I47" i="48"/>
  <c r="J21" i="48"/>
  <c r="I9" i="48"/>
  <c r="I10" i="48" s="1"/>
  <c r="I11" i="48" s="1"/>
  <c r="I15" i="48" s="1"/>
  <c r="I16" i="48" s="1"/>
  <c r="I22" i="48"/>
  <c r="G25" i="48"/>
  <c r="G26" i="48" s="1"/>
  <c r="G56" i="48" s="1"/>
  <c r="G61" i="48" s="1"/>
  <c r="H114" i="43"/>
  <c r="J114" i="43" s="1"/>
  <c r="J116" i="43" s="1"/>
  <c r="J103" i="43"/>
  <c r="J105" i="43" s="1"/>
  <c r="D113" i="43"/>
  <c r="D114" i="43" s="1"/>
  <c r="F114" i="43" s="1"/>
  <c r="F116" i="43" s="1"/>
  <c r="D122" i="43"/>
  <c r="F122" i="43" s="1"/>
  <c r="F126" i="43" s="1"/>
  <c r="F128" i="43" s="1"/>
  <c r="F111" i="43"/>
  <c r="E64" i="38"/>
  <c r="F67" i="38"/>
  <c r="F68" i="38" s="1"/>
  <c r="B54" i="34"/>
  <c r="G21" i="34"/>
  <c r="F21" i="34"/>
  <c r="C21" i="34"/>
  <c r="D21" i="34"/>
  <c r="G52" i="34"/>
  <c r="G43" i="34"/>
  <c r="B9" i="34"/>
  <c r="B16" i="34"/>
  <c r="B17" i="34" s="1"/>
  <c r="L70" i="46" l="1"/>
  <c r="G79" i="46"/>
  <c r="G54" i="46"/>
  <c r="G68" i="46" s="1"/>
  <c r="G71" i="46" s="1"/>
  <c r="J57" i="46"/>
  <c r="J47" i="46"/>
  <c r="K21" i="46"/>
  <c r="J9" i="46"/>
  <c r="J10" i="46" s="1"/>
  <c r="J11" i="46" s="1"/>
  <c r="J15" i="46" s="1"/>
  <c r="J16" i="46" s="1"/>
  <c r="J22" i="46"/>
  <c r="K58" i="46"/>
  <c r="L8" i="46"/>
  <c r="L97" i="46"/>
  <c r="L86" i="46"/>
  <c r="L75" i="46"/>
  <c r="M53" i="46"/>
  <c r="L60" i="46"/>
  <c r="L62" i="46" s="1"/>
  <c r="M14" i="46"/>
  <c r="M23" i="46" s="1"/>
  <c r="M63" i="46" s="1"/>
  <c r="F54" i="46"/>
  <c r="F68" i="46" s="1"/>
  <c r="F71" i="46" s="1"/>
  <c r="F79" i="46"/>
  <c r="I24" i="46"/>
  <c r="I46" i="46"/>
  <c r="P20" i="46"/>
  <c r="L7" i="46"/>
  <c r="L49" i="46" s="1"/>
  <c r="L59" i="46" s="1"/>
  <c r="H51" i="46"/>
  <c r="H50" i="46"/>
  <c r="X69" i="46"/>
  <c r="Y37" i="46"/>
  <c r="G101" i="46"/>
  <c r="G64" i="46"/>
  <c r="G90" i="46" s="1"/>
  <c r="H25" i="46"/>
  <c r="H26" i="46" s="1"/>
  <c r="H56" i="46" s="1"/>
  <c r="H61" i="46" s="1"/>
  <c r="K97" i="47"/>
  <c r="K86" i="47"/>
  <c r="K75" i="47"/>
  <c r="L53" i="47"/>
  <c r="K60" i="47"/>
  <c r="K62" i="47" s="1"/>
  <c r="L14" i="47"/>
  <c r="L23" i="47" s="1"/>
  <c r="L63" i="47" s="1"/>
  <c r="K23" i="47"/>
  <c r="K63" i="47" s="1"/>
  <c r="X69" i="47"/>
  <c r="Y37" i="47"/>
  <c r="I25" i="47"/>
  <c r="I26" i="47" s="1"/>
  <c r="I56" i="47" s="1"/>
  <c r="I61" i="47" s="1"/>
  <c r="M70" i="47"/>
  <c r="I51" i="47"/>
  <c r="I50" i="47"/>
  <c r="L7" i="47"/>
  <c r="L49" i="47" s="1"/>
  <c r="L59" i="47" s="1"/>
  <c r="H101" i="47"/>
  <c r="H64" i="47"/>
  <c r="H90" i="47" s="1"/>
  <c r="M48" i="47"/>
  <c r="L58" i="47"/>
  <c r="M8" i="47"/>
  <c r="H52" i="47"/>
  <c r="N20" i="47"/>
  <c r="J24" i="47"/>
  <c r="J46" i="47"/>
  <c r="K57" i="47"/>
  <c r="K47" i="47"/>
  <c r="L21" i="47"/>
  <c r="K9" i="47"/>
  <c r="K10" i="47" s="1"/>
  <c r="K11" i="47" s="1"/>
  <c r="K15" i="47" s="1"/>
  <c r="K16" i="47" s="1"/>
  <c r="K22" i="47"/>
  <c r="G101" i="48"/>
  <c r="G64" i="48"/>
  <c r="G90" i="48" s="1"/>
  <c r="K58" i="48"/>
  <c r="L8" i="48"/>
  <c r="L48" i="48" s="1"/>
  <c r="N7" i="48"/>
  <c r="N49" i="48" s="1"/>
  <c r="N59" i="48" s="1"/>
  <c r="H51" i="48"/>
  <c r="H50" i="48"/>
  <c r="L97" i="48"/>
  <c r="L86" i="48"/>
  <c r="L75" i="48"/>
  <c r="L60" i="48"/>
  <c r="L62" i="48" s="1"/>
  <c r="M53" i="48"/>
  <c r="M14" i="48"/>
  <c r="I46" i="48"/>
  <c r="I24" i="48"/>
  <c r="G52" i="48"/>
  <c r="M49" i="48"/>
  <c r="M59" i="48" s="1"/>
  <c r="H25" i="48"/>
  <c r="H26" i="48" s="1"/>
  <c r="H56" i="48" s="1"/>
  <c r="H61" i="48" s="1"/>
  <c r="L23" i="48"/>
  <c r="L63" i="48" s="1"/>
  <c r="L70" i="48"/>
  <c r="M20" i="48"/>
  <c r="K21" i="48"/>
  <c r="J47" i="48"/>
  <c r="J9" i="48"/>
  <c r="J10" i="48" s="1"/>
  <c r="J11" i="48" s="1"/>
  <c r="J15" i="48" s="1"/>
  <c r="J16" i="48" s="1"/>
  <c r="J57" i="48"/>
  <c r="J22" i="48"/>
  <c r="K48" i="48"/>
  <c r="F79" i="48"/>
  <c r="F54" i="48"/>
  <c r="F68" i="48" s="1"/>
  <c r="F71" i="48" s="1"/>
  <c r="X69" i="48"/>
  <c r="Y37" i="48"/>
  <c r="F118" i="43"/>
  <c r="E67" i="38"/>
  <c r="E68" i="38" s="1"/>
  <c r="D64" i="38"/>
  <c r="G29" i="34"/>
  <c r="E26" i="34"/>
  <c r="D26" i="34"/>
  <c r="C26" i="34"/>
  <c r="C44" i="34" s="1"/>
  <c r="B26" i="34"/>
  <c r="G25" i="34"/>
  <c r="H25" i="34" s="1"/>
  <c r="H101" i="46" l="1"/>
  <c r="H64" i="46"/>
  <c r="H90" i="46" s="1"/>
  <c r="L58" i="46"/>
  <c r="M8" i="46"/>
  <c r="M48" i="46" s="1"/>
  <c r="Y69" i="46"/>
  <c r="Z37" i="46"/>
  <c r="M7" i="46"/>
  <c r="M49" i="46" s="1"/>
  <c r="M59" i="46" s="1"/>
  <c r="Q20" i="46"/>
  <c r="K57" i="46"/>
  <c r="K47" i="46"/>
  <c r="L21" i="46"/>
  <c r="K9" i="46"/>
  <c r="K10" i="46" s="1"/>
  <c r="K11" i="46" s="1"/>
  <c r="K15" i="46" s="1"/>
  <c r="K16" i="46" s="1"/>
  <c r="K22" i="46"/>
  <c r="I51" i="46"/>
  <c r="I50" i="46"/>
  <c r="M97" i="46"/>
  <c r="M86" i="46"/>
  <c r="N53" i="46"/>
  <c r="M60" i="46"/>
  <c r="M62" i="46" s="1"/>
  <c r="N14" i="46"/>
  <c r="N23" i="46" s="1"/>
  <c r="N63" i="46" s="1"/>
  <c r="M75" i="46"/>
  <c r="H52" i="46"/>
  <c r="I26" i="46"/>
  <c r="I56" i="46" s="1"/>
  <c r="I61" i="46" s="1"/>
  <c r="I25" i="46"/>
  <c r="L48" i="46"/>
  <c r="J24" i="46"/>
  <c r="J46" i="46"/>
  <c r="M70" i="46"/>
  <c r="J25" i="47"/>
  <c r="J26" i="47" s="1"/>
  <c r="J56" i="47" s="1"/>
  <c r="J61" i="47" s="1"/>
  <c r="O20" i="47"/>
  <c r="N70" i="47"/>
  <c r="K24" i="47"/>
  <c r="K46" i="47"/>
  <c r="Y69" i="47"/>
  <c r="Z37" i="47"/>
  <c r="L97" i="47"/>
  <c r="L86" i="47"/>
  <c r="L75" i="47"/>
  <c r="L60" i="47"/>
  <c r="L62" i="47" s="1"/>
  <c r="M53" i="47"/>
  <c r="M14" i="47"/>
  <c r="L57" i="47"/>
  <c r="L47" i="47"/>
  <c r="L9" i="47"/>
  <c r="L10" i="47" s="1"/>
  <c r="L11" i="47" s="1"/>
  <c r="L15" i="47" s="1"/>
  <c r="L16" i="47" s="1"/>
  <c r="M21" i="47"/>
  <c r="L22" i="47"/>
  <c r="I101" i="47"/>
  <c r="I64" i="47"/>
  <c r="I90" i="47" s="1"/>
  <c r="M58" i="47"/>
  <c r="N8" i="47"/>
  <c r="M49" i="47"/>
  <c r="M59" i="47" s="1"/>
  <c r="M7" i="47"/>
  <c r="J50" i="47"/>
  <c r="J52" i="47" s="1"/>
  <c r="J51" i="47"/>
  <c r="H79" i="47"/>
  <c r="H54" i="47"/>
  <c r="H68" i="47" s="1"/>
  <c r="H71" i="47" s="1"/>
  <c r="I52" i="47"/>
  <c r="H101" i="48"/>
  <c r="H64" i="48"/>
  <c r="H90" i="48" s="1"/>
  <c r="M97" i="48"/>
  <c r="M86" i="48"/>
  <c r="M75" i="48"/>
  <c r="M60" i="48"/>
  <c r="M62" i="48" s="1"/>
  <c r="N14" i="48"/>
  <c r="N23" i="48" s="1"/>
  <c r="N63" i="48" s="1"/>
  <c r="N53" i="48"/>
  <c r="G79" i="48"/>
  <c r="G54" i="48"/>
  <c r="G68" i="48" s="1"/>
  <c r="G71" i="48" s="1"/>
  <c r="H52" i="48"/>
  <c r="O7" i="48"/>
  <c r="Y69" i="48"/>
  <c r="Z37" i="48"/>
  <c r="I25" i="48"/>
  <c r="I26" i="48" s="1"/>
  <c r="I56" i="48" s="1"/>
  <c r="I61" i="48" s="1"/>
  <c r="M23" i="48"/>
  <c r="M63" i="48" s="1"/>
  <c r="L58" i="48"/>
  <c r="M8" i="48"/>
  <c r="M48" i="48" s="1"/>
  <c r="M70" i="48"/>
  <c r="J24" i="48"/>
  <c r="J46" i="48"/>
  <c r="L21" i="48"/>
  <c r="K57" i="48"/>
  <c r="K47" i="48"/>
  <c r="K9" i="48"/>
  <c r="K10" i="48" s="1"/>
  <c r="K11" i="48" s="1"/>
  <c r="K15" i="48" s="1"/>
  <c r="K16" i="48" s="1"/>
  <c r="K22" i="48"/>
  <c r="N20" i="48"/>
  <c r="I51" i="48"/>
  <c r="I50" i="48"/>
  <c r="D67" i="38"/>
  <c r="D68" i="38" s="1"/>
  <c r="C64" i="38"/>
  <c r="B27" i="34"/>
  <c r="B44" i="34"/>
  <c r="F27" i="34"/>
  <c r="F45" i="34" s="1"/>
  <c r="F44" i="34"/>
  <c r="E27" i="34"/>
  <c r="E45" i="34" s="1"/>
  <c r="E44" i="34"/>
  <c r="D27" i="34"/>
  <c r="D45" i="34" s="1"/>
  <c r="D44" i="34"/>
  <c r="G44" i="34" s="1"/>
  <c r="H20" i="34"/>
  <c r="G26" i="34"/>
  <c r="H26" i="34" s="1"/>
  <c r="H21" i="34"/>
  <c r="C27" i="34"/>
  <c r="C45" i="34" s="1"/>
  <c r="H79" i="46" l="1"/>
  <c r="H54" i="46"/>
  <c r="H68" i="46" s="1"/>
  <c r="H71" i="46" s="1"/>
  <c r="N70" i="46"/>
  <c r="M21" i="46"/>
  <c r="L57" i="46"/>
  <c r="L47" i="46"/>
  <c r="L9" i="46"/>
  <c r="L10" i="46" s="1"/>
  <c r="L11" i="46" s="1"/>
  <c r="L15" i="46" s="1"/>
  <c r="L16" i="46" s="1"/>
  <c r="L22" i="46"/>
  <c r="N7" i="46"/>
  <c r="Z69" i="46"/>
  <c r="AA37" i="46"/>
  <c r="AA69" i="46" s="1"/>
  <c r="J25" i="46"/>
  <c r="J26" i="46" s="1"/>
  <c r="J56" i="46" s="1"/>
  <c r="J61" i="46" s="1"/>
  <c r="J51" i="46"/>
  <c r="J50" i="46"/>
  <c r="J52" i="46" s="1"/>
  <c r="I101" i="46"/>
  <c r="I64" i="46"/>
  <c r="I90" i="46" s="1"/>
  <c r="N97" i="46"/>
  <c r="N86" i="46"/>
  <c r="N75" i="46"/>
  <c r="N60" i="46"/>
  <c r="N62" i="46" s="1"/>
  <c r="O53" i="46"/>
  <c r="O14" i="46"/>
  <c r="O23" i="46" s="1"/>
  <c r="O63" i="46" s="1"/>
  <c r="I52" i="46"/>
  <c r="K46" i="46"/>
  <c r="K24" i="46"/>
  <c r="R20" i="46"/>
  <c r="M58" i="46"/>
  <c r="N8" i="46"/>
  <c r="I79" i="47"/>
  <c r="I54" i="47"/>
  <c r="I68" i="47" s="1"/>
  <c r="I71" i="47" s="1"/>
  <c r="O48" i="47"/>
  <c r="O8" i="47"/>
  <c r="N58" i="47"/>
  <c r="Z69" i="47"/>
  <c r="AA37" i="47"/>
  <c r="AA69" i="47" s="1"/>
  <c r="P20" i="47"/>
  <c r="M97" i="47"/>
  <c r="M86" i="47"/>
  <c r="M75" i="47"/>
  <c r="M60" i="47"/>
  <c r="M62" i="47" s="1"/>
  <c r="N14" i="47"/>
  <c r="N23" i="47" s="1"/>
  <c r="N63" i="47" s="1"/>
  <c r="N53" i="47"/>
  <c r="N7" i="47"/>
  <c r="N49" i="47" s="1"/>
  <c r="N59" i="47" s="1"/>
  <c r="N48" i="47"/>
  <c r="L24" i="47"/>
  <c r="L46" i="47"/>
  <c r="J79" i="47"/>
  <c r="J54" i="47"/>
  <c r="J68" i="47" s="1"/>
  <c r="J71" i="47" s="1"/>
  <c r="K25" i="47"/>
  <c r="K26" i="47" s="1"/>
  <c r="K56" i="47" s="1"/>
  <c r="K61" i="47" s="1"/>
  <c r="O70" i="47"/>
  <c r="M57" i="47"/>
  <c r="M47" i="47"/>
  <c r="N21" i="47"/>
  <c r="M9" i="47"/>
  <c r="M10" i="47" s="1"/>
  <c r="M11" i="47" s="1"/>
  <c r="M15" i="47" s="1"/>
  <c r="M16" i="47" s="1"/>
  <c r="M22" i="47"/>
  <c r="M23" i="47"/>
  <c r="M63" i="47" s="1"/>
  <c r="K51" i="47"/>
  <c r="K50" i="47"/>
  <c r="K52" i="47" s="1"/>
  <c r="J101" i="47"/>
  <c r="J64" i="47"/>
  <c r="J90" i="47" s="1"/>
  <c r="P7" i="48"/>
  <c r="J25" i="48"/>
  <c r="J26" i="48" s="1"/>
  <c r="J56" i="48" s="1"/>
  <c r="J61" i="48" s="1"/>
  <c r="M58" i="48"/>
  <c r="N8" i="48"/>
  <c r="N48" i="48" s="1"/>
  <c r="I52" i="48"/>
  <c r="N70" i="48"/>
  <c r="Z69" i="48"/>
  <c r="AA37" i="48"/>
  <c r="AA69" i="48" s="1"/>
  <c r="O49" i="48"/>
  <c r="O59" i="48" s="1"/>
  <c r="K24" i="48"/>
  <c r="K46" i="48"/>
  <c r="L57" i="48"/>
  <c r="L47" i="48"/>
  <c r="M21" i="48"/>
  <c r="L9" i="48"/>
  <c r="L10" i="48" s="1"/>
  <c r="L11" i="48" s="1"/>
  <c r="L15" i="48" s="1"/>
  <c r="L16" i="48" s="1"/>
  <c r="L22" i="48"/>
  <c r="I101" i="48"/>
  <c r="I64" i="48"/>
  <c r="I90" i="48" s="1"/>
  <c r="H79" i="48"/>
  <c r="H54" i="48"/>
  <c r="H68" i="48" s="1"/>
  <c r="H71" i="48" s="1"/>
  <c r="O20" i="48"/>
  <c r="J51" i="48"/>
  <c r="J50" i="48"/>
  <c r="N97" i="48"/>
  <c r="N60" i="48"/>
  <c r="N62" i="48" s="1"/>
  <c r="N86" i="48"/>
  <c r="N75" i="48"/>
  <c r="O53" i="48"/>
  <c r="O14" i="48"/>
  <c r="C67" i="38"/>
  <c r="C68" i="38" s="1"/>
  <c r="C69" i="38" s="1"/>
  <c r="B35" i="34"/>
  <c r="B45" i="34"/>
  <c r="G45" i="34" s="1"/>
  <c r="G27" i="34"/>
  <c r="H27" i="34" s="1"/>
  <c r="I48" i="33"/>
  <c r="H48" i="33"/>
  <c r="H43" i="33"/>
  <c r="F30" i="33"/>
  <c r="F28" i="33"/>
  <c r="E27" i="33"/>
  <c r="E26" i="33"/>
  <c r="D23" i="33"/>
  <c r="E28" i="33" s="1"/>
  <c r="F11" i="33"/>
  <c r="E11" i="33"/>
  <c r="E24" i="29"/>
  <c r="E19" i="29"/>
  <c r="E12" i="29"/>
  <c r="E10" i="29"/>
  <c r="E6" i="29"/>
  <c r="G57" i="31"/>
  <c r="F57" i="31"/>
  <c r="E57" i="31"/>
  <c r="D57" i="31"/>
  <c r="H56" i="31"/>
  <c r="H55" i="31"/>
  <c r="H54" i="31"/>
  <c r="H53" i="31"/>
  <c r="H57" i="31" s="1"/>
  <c r="G52" i="31"/>
  <c r="G58" i="31" s="1"/>
  <c r="G51" i="31"/>
  <c r="E51" i="31"/>
  <c r="D51" i="31"/>
  <c r="H51" i="31" s="1"/>
  <c r="I51" i="31" s="1"/>
  <c r="H50" i="31"/>
  <c r="I50" i="31" s="1"/>
  <c r="H49" i="31"/>
  <c r="I49" i="31" s="1"/>
  <c r="G47" i="31"/>
  <c r="F47" i="31"/>
  <c r="F52" i="31" s="1"/>
  <c r="F58" i="31" s="1"/>
  <c r="E47" i="31"/>
  <c r="E52" i="31" s="1"/>
  <c r="E58" i="31" s="1"/>
  <c r="D47" i="31"/>
  <c r="H47" i="31" s="1"/>
  <c r="H46" i="31"/>
  <c r="I46" i="31" s="1"/>
  <c r="H45" i="31"/>
  <c r="I45" i="31" s="1"/>
  <c r="F42" i="31"/>
  <c r="G42" i="31" s="1"/>
  <c r="E42" i="31"/>
  <c r="G39" i="31"/>
  <c r="F39" i="31"/>
  <c r="E39" i="31"/>
  <c r="D39" i="31"/>
  <c r="H38" i="31"/>
  <c r="H37" i="31"/>
  <c r="H36" i="31"/>
  <c r="H39" i="31" s="1"/>
  <c r="N32" i="31" s="1"/>
  <c r="H35" i="31"/>
  <c r="E34" i="31"/>
  <c r="E40" i="31" s="1"/>
  <c r="H33" i="31"/>
  <c r="I33" i="31" s="1"/>
  <c r="G33" i="31"/>
  <c r="E33" i="31"/>
  <c r="D33" i="31"/>
  <c r="H32" i="31"/>
  <c r="I32" i="31" s="1"/>
  <c r="I31" i="31"/>
  <c r="H31" i="31"/>
  <c r="G29" i="31"/>
  <c r="G34" i="31" s="1"/>
  <c r="G40" i="31" s="1"/>
  <c r="F29" i="31"/>
  <c r="F34" i="31" s="1"/>
  <c r="F40" i="31" s="1"/>
  <c r="E29" i="31"/>
  <c r="D29" i="31"/>
  <c r="D34" i="31" s="1"/>
  <c r="D40" i="31" s="1"/>
  <c r="I28" i="31"/>
  <c r="H28" i="31"/>
  <c r="H27" i="31"/>
  <c r="I27" i="31" s="1"/>
  <c r="G24" i="31"/>
  <c r="F24" i="31"/>
  <c r="E24" i="31"/>
  <c r="O21" i="31"/>
  <c r="N21" i="31"/>
  <c r="M21" i="31"/>
  <c r="L21" i="31"/>
  <c r="P21" i="31" s="1"/>
  <c r="O20" i="31"/>
  <c r="N20" i="31"/>
  <c r="M20" i="31"/>
  <c r="P20" i="31" s="1"/>
  <c r="G20" i="31"/>
  <c r="F20" i="31"/>
  <c r="E20" i="31"/>
  <c r="D20" i="31"/>
  <c r="D21" i="31" s="1"/>
  <c r="H19" i="31"/>
  <c r="H18" i="31"/>
  <c r="H17" i="31"/>
  <c r="H16" i="31"/>
  <c r="O15" i="31"/>
  <c r="N15" i="31"/>
  <c r="M15" i="31"/>
  <c r="H15" i="31"/>
  <c r="H20" i="31" s="1"/>
  <c r="O32" i="31" s="1"/>
  <c r="O14" i="31"/>
  <c r="M14" i="31"/>
  <c r="L14" i="31"/>
  <c r="P14" i="31" s="1"/>
  <c r="E14" i="31"/>
  <c r="E21" i="31" s="1"/>
  <c r="P13" i="31"/>
  <c r="H13" i="31"/>
  <c r="P12" i="31"/>
  <c r="H12" i="31"/>
  <c r="H11" i="31"/>
  <c r="P9" i="31"/>
  <c r="L9" i="31"/>
  <c r="L10" i="31" s="1"/>
  <c r="G9" i="31"/>
  <c r="G14" i="31" s="1"/>
  <c r="G21" i="31" s="1"/>
  <c r="F9" i="31"/>
  <c r="F14" i="31" s="1"/>
  <c r="F21" i="31" s="1"/>
  <c r="E9" i="31"/>
  <c r="H9" i="31" s="1"/>
  <c r="P8" i="31"/>
  <c r="I8" i="31"/>
  <c r="H8" i="31"/>
  <c r="I7" i="31"/>
  <c r="H7" i="31"/>
  <c r="M5" i="31"/>
  <c r="N5" i="31" s="1"/>
  <c r="O5" i="31" s="1"/>
  <c r="F4" i="31"/>
  <c r="G4" i="31" s="1"/>
  <c r="E4" i="31"/>
  <c r="D37" i="30"/>
  <c r="G36" i="30"/>
  <c r="F36" i="30"/>
  <c r="E36" i="30"/>
  <c r="D36" i="30"/>
  <c r="H35" i="30"/>
  <c r="H34" i="30"/>
  <c r="H33" i="30"/>
  <c r="H36" i="30" s="1"/>
  <c r="G32" i="30"/>
  <c r="G37" i="30" s="1"/>
  <c r="F32" i="30"/>
  <c r="F37" i="30" s="1"/>
  <c r="E32" i="30"/>
  <c r="E37" i="30" s="1"/>
  <c r="D32" i="30"/>
  <c r="H32" i="30" s="1"/>
  <c r="H31" i="30"/>
  <c r="I31" i="30" s="1"/>
  <c r="I30" i="30"/>
  <c r="H30" i="30"/>
  <c r="E28" i="30"/>
  <c r="F28" i="30" s="1"/>
  <c r="G28" i="30" s="1"/>
  <c r="L25" i="30"/>
  <c r="F25" i="30"/>
  <c r="G24" i="30"/>
  <c r="F24" i="30"/>
  <c r="E24" i="30"/>
  <c r="D24" i="30"/>
  <c r="P23" i="30"/>
  <c r="H23" i="30"/>
  <c r="H22" i="30"/>
  <c r="H21" i="30"/>
  <c r="H24" i="30" s="1"/>
  <c r="M35" i="30" s="1"/>
  <c r="G20" i="30"/>
  <c r="G25" i="30" s="1"/>
  <c r="F20" i="30"/>
  <c r="E20" i="30"/>
  <c r="E25" i="30" s="1"/>
  <c r="D20" i="30"/>
  <c r="H20" i="30" s="1"/>
  <c r="H19" i="30"/>
  <c r="I19" i="30" s="1"/>
  <c r="L11" i="30" s="1"/>
  <c r="I18" i="30"/>
  <c r="H18" i="30"/>
  <c r="E16" i="30"/>
  <c r="F16" i="30" s="1"/>
  <c r="G16" i="30" s="1"/>
  <c r="G13" i="30"/>
  <c r="F13" i="30"/>
  <c r="E13" i="30"/>
  <c r="D13" i="30"/>
  <c r="H13" i="30" s="1"/>
  <c r="N36" i="30" s="1"/>
  <c r="G12" i="30"/>
  <c r="F12" i="30"/>
  <c r="E12" i="30"/>
  <c r="D12" i="30"/>
  <c r="H11" i="30"/>
  <c r="O10" i="30"/>
  <c r="O11" i="30" s="1"/>
  <c r="N10" i="30"/>
  <c r="M10" i="30"/>
  <c r="L10" i="30"/>
  <c r="H10" i="30"/>
  <c r="H9" i="30"/>
  <c r="H12" i="30" s="1"/>
  <c r="N35" i="30" s="1"/>
  <c r="M6" i="30"/>
  <c r="N6" i="30" s="1"/>
  <c r="O6" i="30" s="1"/>
  <c r="E4" i="30"/>
  <c r="F4" i="30" s="1"/>
  <c r="G4" i="30" s="1"/>
  <c r="K51" i="46" l="1"/>
  <c r="K50" i="46"/>
  <c r="O7" i="46"/>
  <c r="O49" i="46" s="1"/>
  <c r="O59" i="46" s="1"/>
  <c r="N58" i="46"/>
  <c r="O8" i="46"/>
  <c r="O48" i="46" s="1"/>
  <c r="I79" i="46"/>
  <c r="I54" i="46"/>
  <c r="I68" i="46" s="1"/>
  <c r="I71" i="46" s="1"/>
  <c r="J79" i="46"/>
  <c r="J54" i="46"/>
  <c r="J68" i="46" s="1"/>
  <c r="J71" i="46" s="1"/>
  <c r="N49" i="46"/>
  <c r="N59" i="46" s="1"/>
  <c r="J101" i="46"/>
  <c r="J64" i="46"/>
  <c r="J90" i="46" s="1"/>
  <c r="O70" i="46"/>
  <c r="S20" i="46"/>
  <c r="N48" i="46"/>
  <c r="K25" i="46"/>
  <c r="K26" i="46" s="1"/>
  <c r="K56" i="46" s="1"/>
  <c r="K61" i="46" s="1"/>
  <c r="O75" i="46"/>
  <c r="O60" i="46"/>
  <c r="O62" i="46" s="1"/>
  <c r="O97" i="46"/>
  <c r="P53" i="46"/>
  <c r="P14" i="46"/>
  <c r="P23" i="46" s="1"/>
  <c r="P63" i="46" s="1"/>
  <c r="L24" i="46"/>
  <c r="L46" i="46"/>
  <c r="M57" i="46"/>
  <c r="N21" i="46"/>
  <c r="M47" i="46"/>
  <c r="M9" i="46"/>
  <c r="M10" i="46" s="1"/>
  <c r="M11" i="46" s="1"/>
  <c r="M15" i="46" s="1"/>
  <c r="M16" i="46" s="1"/>
  <c r="M22" i="46"/>
  <c r="K101" i="47"/>
  <c r="K64" i="47"/>
  <c r="K90" i="47" s="1"/>
  <c r="M46" i="47"/>
  <c r="M24" i="47"/>
  <c r="K79" i="47"/>
  <c r="K54" i="47"/>
  <c r="K68" i="47" s="1"/>
  <c r="K71" i="47" s="1"/>
  <c r="P70" i="47"/>
  <c r="L51" i="47"/>
  <c r="L50" i="47"/>
  <c r="L52" i="47" s="1"/>
  <c r="Q20" i="47"/>
  <c r="O7" i="47"/>
  <c r="N57" i="47"/>
  <c r="O21" i="47"/>
  <c r="N47" i="47"/>
  <c r="N9" i="47"/>
  <c r="N10" i="47" s="1"/>
  <c r="N11" i="47" s="1"/>
  <c r="N15" i="47" s="1"/>
  <c r="N16" i="47" s="1"/>
  <c r="N22" i="47"/>
  <c r="L25" i="47"/>
  <c r="L26" i="47" s="1"/>
  <c r="L56" i="47" s="1"/>
  <c r="L61" i="47" s="1"/>
  <c r="N97" i="47"/>
  <c r="N75" i="47"/>
  <c r="N60" i="47"/>
  <c r="N62" i="47" s="1"/>
  <c r="N86" i="47"/>
  <c r="O53" i="47"/>
  <c r="O14" i="47"/>
  <c r="O23" i="47" s="1"/>
  <c r="O63" i="47" s="1"/>
  <c r="O58" i="47"/>
  <c r="P8" i="47"/>
  <c r="O75" i="48"/>
  <c r="O97" i="48"/>
  <c r="P53" i="48"/>
  <c r="O60" i="48"/>
  <c r="O62" i="48" s="1"/>
  <c r="P14" i="48"/>
  <c r="P23" i="48" s="1"/>
  <c r="P63" i="48" s="1"/>
  <c r="O23" i="48"/>
  <c r="O63" i="48" s="1"/>
  <c r="P20" i="48"/>
  <c r="K51" i="48"/>
  <c r="K50" i="48"/>
  <c r="L24" i="48"/>
  <c r="L46" i="48"/>
  <c r="Q7" i="48"/>
  <c r="M57" i="48"/>
  <c r="M47" i="48"/>
  <c r="N21" i="48"/>
  <c r="M9" i="48"/>
  <c r="M10" i="48" s="1"/>
  <c r="M11" i="48" s="1"/>
  <c r="M15" i="48" s="1"/>
  <c r="M16" i="48" s="1"/>
  <c r="M22" i="48"/>
  <c r="K25" i="48"/>
  <c r="K26" i="48" s="1"/>
  <c r="K56" i="48" s="1"/>
  <c r="K61" i="48" s="1"/>
  <c r="O70" i="48"/>
  <c r="O48" i="48"/>
  <c r="O8" i="48"/>
  <c r="N58" i="48"/>
  <c r="P49" i="48"/>
  <c r="P59" i="48" s="1"/>
  <c r="I79" i="48"/>
  <c r="I54" i="48"/>
  <c r="I68" i="48" s="1"/>
  <c r="I71" i="48" s="1"/>
  <c r="J52" i="48"/>
  <c r="J101" i="48"/>
  <c r="J64" i="48"/>
  <c r="J90" i="48" s="1"/>
  <c r="C35" i="34"/>
  <c r="E30" i="33"/>
  <c r="I47" i="31"/>
  <c r="H52" i="31"/>
  <c r="H58" i="31" s="1"/>
  <c r="P10" i="31"/>
  <c r="P15" i="31" s="1"/>
  <c r="P22" i="31" s="1"/>
  <c r="L15" i="31"/>
  <c r="H14" i="31"/>
  <c r="I9" i="31"/>
  <c r="H29" i="31"/>
  <c r="D52" i="31"/>
  <c r="D58" i="31" s="1"/>
  <c r="L12" i="30"/>
  <c r="H37" i="30"/>
  <c r="I32" i="30"/>
  <c r="I20" i="30"/>
  <c r="H25" i="30"/>
  <c r="M38" i="30" s="1"/>
  <c r="M39" i="30" s="1"/>
  <c r="M12" i="30"/>
  <c r="M16" i="30" s="1"/>
  <c r="M25" i="30" s="1"/>
  <c r="M11" i="30"/>
  <c r="O12" i="30"/>
  <c r="O16" i="30" s="1"/>
  <c r="O25" i="30" s="1"/>
  <c r="P10" i="30"/>
  <c r="N11" i="30"/>
  <c r="P11" i="30" s="1"/>
  <c r="D25" i="30"/>
  <c r="K101" i="46" l="1"/>
  <c r="K64" i="46"/>
  <c r="K90" i="46" s="1"/>
  <c r="M24" i="46"/>
  <c r="M46" i="46"/>
  <c r="L51" i="46"/>
  <c r="L50" i="46"/>
  <c r="L52" i="46" s="1"/>
  <c r="P70" i="46"/>
  <c r="L25" i="46"/>
  <c r="L26" i="46" s="1"/>
  <c r="L56" i="46" s="1"/>
  <c r="L61" i="46" s="1"/>
  <c r="P97" i="46"/>
  <c r="P75" i="46"/>
  <c r="Q53" i="46"/>
  <c r="P60" i="46"/>
  <c r="P62" i="46" s="1"/>
  <c r="Q14" i="46"/>
  <c r="Q23" i="46" s="1"/>
  <c r="Q63" i="46" s="1"/>
  <c r="K52" i="46"/>
  <c r="N57" i="46"/>
  <c r="N47" i="46"/>
  <c r="O21" i="46"/>
  <c r="N9" i="46"/>
  <c r="N10" i="46" s="1"/>
  <c r="N11" i="46" s="1"/>
  <c r="N15" i="46" s="1"/>
  <c r="N16" i="46" s="1"/>
  <c r="N22" i="46"/>
  <c r="T20" i="46"/>
  <c r="O58" i="46"/>
  <c r="P48" i="46"/>
  <c r="P8" i="46"/>
  <c r="P7" i="46"/>
  <c r="P49" i="46" s="1"/>
  <c r="P59" i="46" s="1"/>
  <c r="L101" i="47"/>
  <c r="L64" i="47"/>
  <c r="L90" i="47" s="1"/>
  <c r="P58" i="47"/>
  <c r="Q8" i="47"/>
  <c r="Q48" i="47" s="1"/>
  <c r="R20" i="47"/>
  <c r="P7" i="47"/>
  <c r="N24" i="47"/>
  <c r="N46" i="47"/>
  <c r="Q70" i="47"/>
  <c r="L79" i="47"/>
  <c r="L54" i="47"/>
  <c r="L68" i="47" s="1"/>
  <c r="L71" i="47" s="1"/>
  <c r="M25" i="47"/>
  <c r="M26" i="47" s="1"/>
  <c r="M56" i="47" s="1"/>
  <c r="M61" i="47" s="1"/>
  <c r="O75" i="47"/>
  <c r="O97" i="47"/>
  <c r="O60" i="47"/>
  <c r="O62" i="47" s="1"/>
  <c r="P53" i="47"/>
  <c r="P14" i="47"/>
  <c r="P48" i="47"/>
  <c r="O57" i="47"/>
  <c r="O47" i="47"/>
  <c r="O9" i="47"/>
  <c r="O10" i="47" s="1"/>
  <c r="O11" i="47" s="1"/>
  <c r="O15" i="47" s="1"/>
  <c r="O16" i="47" s="1"/>
  <c r="P21" i="47"/>
  <c r="O22" i="47"/>
  <c r="O49" i="47"/>
  <c r="O59" i="47" s="1"/>
  <c r="M51" i="47"/>
  <c r="M50" i="47"/>
  <c r="K52" i="48"/>
  <c r="K79" i="48" s="1"/>
  <c r="K101" i="48"/>
  <c r="K64" i="48"/>
  <c r="K90" i="48" s="1"/>
  <c r="J79" i="48"/>
  <c r="J54" i="48"/>
  <c r="J68" i="48" s="1"/>
  <c r="J71" i="48" s="1"/>
  <c r="O21" i="48"/>
  <c r="N9" i="48"/>
  <c r="N10" i="48" s="1"/>
  <c r="N11" i="48" s="1"/>
  <c r="N15" i="48" s="1"/>
  <c r="N16" i="48" s="1"/>
  <c r="N57" i="48"/>
  <c r="N47" i="48"/>
  <c r="N22" i="48"/>
  <c r="R7" i="48"/>
  <c r="R49" i="48" s="1"/>
  <c r="R59" i="48" s="1"/>
  <c r="L25" i="48"/>
  <c r="L26" i="48" s="1"/>
  <c r="L56" i="48" s="1"/>
  <c r="L61" i="48" s="1"/>
  <c r="Q20" i="48"/>
  <c r="P70" i="48"/>
  <c r="M46" i="48"/>
  <c r="M24" i="48"/>
  <c r="Q49" i="48"/>
  <c r="Q59" i="48" s="1"/>
  <c r="O58" i="48"/>
  <c r="P8" i="48"/>
  <c r="L51" i="48"/>
  <c r="L50" i="48"/>
  <c r="P97" i="48"/>
  <c r="P75" i="48"/>
  <c r="P60" i="48"/>
  <c r="P62" i="48" s="1"/>
  <c r="Q53" i="48"/>
  <c r="Q14" i="48"/>
  <c r="Q23" i="48" s="1"/>
  <c r="Q63" i="48" s="1"/>
  <c r="D35" i="34"/>
  <c r="H36" i="33"/>
  <c r="H21" i="31"/>
  <c r="O33" i="31" s="1"/>
  <c r="O37" i="31"/>
  <c r="O38" i="31" s="1"/>
  <c r="H34" i="31"/>
  <c r="I29" i="31"/>
  <c r="O34" i="31"/>
  <c r="N12" i="30"/>
  <c r="N16" i="30" s="1"/>
  <c r="N25" i="30" s="1"/>
  <c r="L79" i="46" l="1"/>
  <c r="L54" i="46"/>
  <c r="L68" i="46" s="1"/>
  <c r="L71" i="46" s="1"/>
  <c r="M25" i="46"/>
  <c r="M26" i="46" s="1"/>
  <c r="M56" i="46" s="1"/>
  <c r="M61" i="46" s="1"/>
  <c r="U20" i="46"/>
  <c r="Q97" i="46"/>
  <c r="R53" i="46"/>
  <c r="Q75" i="46"/>
  <c r="Q60" i="46"/>
  <c r="Q62" i="46" s="1"/>
  <c r="R14" i="46"/>
  <c r="R23" i="46" s="1"/>
  <c r="R63" i="46" s="1"/>
  <c r="Q7" i="46"/>
  <c r="Q49" i="46" s="1"/>
  <c r="Q59" i="46" s="1"/>
  <c r="O57" i="46"/>
  <c r="O47" i="46"/>
  <c r="P21" i="46"/>
  <c r="O9" i="46"/>
  <c r="O10" i="46" s="1"/>
  <c r="O11" i="46" s="1"/>
  <c r="O15" i="46" s="1"/>
  <c r="O16" i="46" s="1"/>
  <c r="O22" i="46"/>
  <c r="P58" i="46"/>
  <c r="Q8" i="46"/>
  <c r="Q48" i="46" s="1"/>
  <c r="N24" i="46"/>
  <c r="N46" i="46"/>
  <c r="L101" i="46"/>
  <c r="L64" i="46"/>
  <c r="L90" i="46" s="1"/>
  <c r="Q70" i="46"/>
  <c r="K79" i="46"/>
  <c r="K54" i="46"/>
  <c r="K68" i="46" s="1"/>
  <c r="K71" i="46" s="1"/>
  <c r="M51" i="46"/>
  <c r="M50" i="46"/>
  <c r="M52" i="46" s="1"/>
  <c r="M101" i="47"/>
  <c r="M64" i="47"/>
  <c r="M90" i="47" s="1"/>
  <c r="N25" i="47"/>
  <c r="O25" i="47" s="1"/>
  <c r="P25" i="47" s="1"/>
  <c r="Q25" i="47" s="1"/>
  <c r="R25" i="47" s="1"/>
  <c r="S25" i="47" s="1"/>
  <c r="T25" i="47" s="1"/>
  <c r="U25" i="47" s="1"/>
  <c r="V25" i="47" s="1"/>
  <c r="W25" i="47" s="1"/>
  <c r="X25" i="47" s="1"/>
  <c r="Y25" i="47" s="1"/>
  <c r="Z25" i="47" s="1"/>
  <c r="AA25" i="47" s="1"/>
  <c r="AB25" i="47" s="1"/>
  <c r="R70" i="47"/>
  <c r="S70" i="47" s="1"/>
  <c r="T70" i="47" s="1"/>
  <c r="U70" i="47" s="1"/>
  <c r="V70" i="47" s="1"/>
  <c r="W70" i="47" s="1"/>
  <c r="X70" i="47" s="1"/>
  <c r="Y70" i="47" s="1"/>
  <c r="Z70" i="47" s="1"/>
  <c r="AA70" i="47" s="1"/>
  <c r="AB70" i="47" s="1"/>
  <c r="S20" i="47"/>
  <c r="Q7" i="47"/>
  <c r="Q58" i="47"/>
  <c r="R48" i="47"/>
  <c r="R8" i="47"/>
  <c r="O24" i="47"/>
  <c r="O46" i="47"/>
  <c r="P57" i="47"/>
  <c r="P47" i="47"/>
  <c r="P9" i="47"/>
  <c r="P10" i="47" s="1"/>
  <c r="P11" i="47" s="1"/>
  <c r="P15" i="47" s="1"/>
  <c r="P16" i="47" s="1"/>
  <c r="Q21" i="47"/>
  <c r="P22" i="47"/>
  <c r="M52" i="47"/>
  <c r="P97" i="47"/>
  <c r="P75" i="47"/>
  <c r="P60" i="47"/>
  <c r="P62" i="47" s="1"/>
  <c r="Q53" i="47"/>
  <c r="Q14" i="47"/>
  <c r="Q23" i="47" s="1"/>
  <c r="Q63" i="47" s="1"/>
  <c r="P23" i="47"/>
  <c r="P63" i="47" s="1"/>
  <c r="N50" i="47"/>
  <c r="N52" i="47" s="1"/>
  <c r="N51" i="47"/>
  <c r="P49" i="47"/>
  <c r="P59" i="47" s="1"/>
  <c r="L52" i="48"/>
  <c r="K54" i="48"/>
  <c r="K68" i="48" s="1"/>
  <c r="K71" i="48" s="1"/>
  <c r="L101" i="48"/>
  <c r="L64" i="48"/>
  <c r="L90" i="48" s="1"/>
  <c r="P58" i="48"/>
  <c r="Q8" i="48"/>
  <c r="Q48" i="48" s="1"/>
  <c r="Q70" i="48"/>
  <c r="R20" i="48"/>
  <c r="L79" i="48"/>
  <c r="L54" i="48"/>
  <c r="L68" i="48" s="1"/>
  <c r="L71" i="48" s="1"/>
  <c r="M25" i="48"/>
  <c r="M26" i="48" s="1"/>
  <c r="M56" i="48" s="1"/>
  <c r="M61" i="48" s="1"/>
  <c r="S7" i="48"/>
  <c r="Q97" i="48"/>
  <c r="Q75" i="48"/>
  <c r="Q60" i="48"/>
  <c r="Q62" i="48" s="1"/>
  <c r="R14" i="48"/>
  <c r="R53" i="48"/>
  <c r="P48" i="48"/>
  <c r="M51" i="48"/>
  <c r="M50" i="48"/>
  <c r="N24" i="48"/>
  <c r="N46" i="48"/>
  <c r="P21" i="48"/>
  <c r="O57" i="48"/>
  <c r="O47" i="48"/>
  <c r="O9" i="48"/>
  <c r="O10" i="48" s="1"/>
  <c r="O11" i="48" s="1"/>
  <c r="O15" i="48" s="1"/>
  <c r="O16" i="48" s="1"/>
  <c r="O22" i="48"/>
  <c r="E35" i="34"/>
  <c r="H40" i="31"/>
  <c r="N35" i="31" s="1"/>
  <c r="N36" i="31" s="1"/>
  <c r="N37" i="31"/>
  <c r="O35" i="31"/>
  <c r="P12" i="30"/>
  <c r="P16" i="30" s="1"/>
  <c r="P25" i="30" s="1"/>
  <c r="M101" i="46" l="1"/>
  <c r="M64" i="46"/>
  <c r="M90" i="46" s="1"/>
  <c r="M79" i="46"/>
  <c r="M54" i="46"/>
  <c r="M68" i="46" s="1"/>
  <c r="M71" i="46" s="1"/>
  <c r="R70" i="46"/>
  <c r="S70" i="46" s="1"/>
  <c r="T70" i="46" s="1"/>
  <c r="U70" i="46" s="1"/>
  <c r="V70" i="46" s="1"/>
  <c r="W70" i="46" s="1"/>
  <c r="X70" i="46" s="1"/>
  <c r="Y70" i="46" s="1"/>
  <c r="Z70" i="46" s="1"/>
  <c r="AA70" i="46" s="1"/>
  <c r="AB70" i="46" s="1"/>
  <c r="N51" i="46"/>
  <c r="N50" i="46"/>
  <c r="N52" i="46" s="1"/>
  <c r="Q21" i="46"/>
  <c r="P57" i="46"/>
  <c r="P9" i="46"/>
  <c r="P10" i="46" s="1"/>
  <c r="P11" i="46" s="1"/>
  <c r="P15" i="46" s="1"/>
  <c r="P16" i="46" s="1"/>
  <c r="P47" i="46"/>
  <c r="P22" i="46"/>
  <c r="N25" i="46"/>
  <c r="O25" i="46" s="1"/>
  <c r="P25" i="46" s="1"/>
  <c r="Q25" i="46" s="1"/>
  <c r="R25" i="46" s="1"/>
  <c r="S25" i="46" s="1"/>
  <c r="T25" i="46" s="1"/>
  <c r="U25" i="46" s="1"/>
  <c r="V25" i="46" s="1"/>
  <c r="W25" i="46" s="1"/>
  <c r="X25" i="46" s="1"/>
  <c r="Y25" i="46" s="1"/>
  <c r="Z25" i="46" s="1"/>
  <c r="AA25" i="46" s="1"/>
  <c r="AB25" i="46" s="1"/>
  <c r="Q58" i="46"/>
  <c r="R8" i="46"/>
  <c r="O46" i="46"/>
  <c r="O24" i="46"/>
  <c r="O26" i="46" s="1"/>
  <c r="O56" i="46" s="1"/>
  <c r="O61" i="46" s="1"/>
  <c r="R60" i="46"/>
  <c r="R62" i="46" s="1"/>
  <c r="S14" i="46"/>
  <c r="S23" i="46" s="1"/>
  <c r="S63" i="46" s="1"/>
  <c r="S53" i="46"/>
  <c r="R49" i="46"/>
  <c r="R59" i="46" s="1"/>
  <c r="R7" i="46"/>
  <c r="V20" i="46"/>
  <c r="Q97" i="47"/>
  <c r="Q75" i="47"/>
  <c r="R53" i="47"/>
  <c r="Q60" i="47"/>
  <c r="Q62" i="47" s="1"/>
  <c r="R14" i="47"/>
  <c r="Q57" i="47"/>
  <c r="Q47" i="47"/>
  <c r="R21" i="47"/>
  <c r="Q9" i="47"/>
  <c r="Q10" i="47" s="1"/>
  <c r="Q11" i="47" s="1"/>
  <c r="Q15" i="47" s="1"/>
  <c r="Q16" i="47" s="1"/>
  <c r="Q22" i="47"/>
  <c r="R58" i="47"/>
  <c r="S8" i="47"/>
  <c r="S48" i="47" s="1"/>
  <c r="N26" i="47"/>
  <c r="N56" i="47" s="1"/>
  <c r="N61" i="47" s="1"/>
  <c r="N79" i="47"/>
  <c r="N54" i="47"/>
  <c r="N68" i="47" s="1"/>
  <c r="N71" i="47" s="1"/>
  <c r="P24" i="47"/>
  <c r="P26" i="47" s="1"/>
  <c r="P56" i="47" s="1"/>
  <c r="P61" i="47" s="1"/>
  <c r="P46" i="47"/>
  <c r="T20" i="47"/>
  <c r="O51" i="47"/>
  <c r="O50" i="47"/>
  <c r="R7" i="47"/>
  <c r="M79" i="47"/>
  <c r="M54" i="47"/>
  <c r="M68" i="47" s="1"/>
  <c r="M71" i="47" s="1"/>
  <c r="O26" i="47"/>
  <c r="O56" i="47" s="1"/>
  <c r="O61" i="47" s="1"/>
  <c r="Q49" i="47"/>
  <c r="Q59" i="47" s="1"/>
  <c r="M52" i="48"/>
  <c r="M54" i="48" s="1"/>
  <c r="M68" i="48" s="1"/>
  <c r="M71" i="48" s="1"/>
  <c r="N25" i="48"/>
  <c r="O25" i="48" s="1"/>
  <c r="P25" i="48" s="1"/>
  <c r="Q25" i="48" s="1"/>
  <c r="R25" i="48" s="1"/>
  <c r="S25" i="48" s="1"/>
  <c r="T25" i="48" s="1"/>
  <c r="U25" i="48" s="1"/>
  <c r="V25" i="48" s="1"/>
  <c r="W25" i="48" s="1"/>
  <c r="X25" i="48" s="1"/>
  <c r="Y25" i="48" s="1"/>
  <c r="Z25" i="48" s="1"/>
  <c r="AA25" i="48" s="1"/>
  <c r="AB25" i="48" s="1"/>
  <c r="T7" i="48"/>
  <c r="M101" i="48"/>
  <c r="M64" i="48"/>
  <c r="M90" i="48" s="1"/>
  <c r="S20" i="48"/>
  <c r="R70" i="48"/>
  <c r="S70" i="48" s="1"/>
  <c r="T70" i="48" s="1"/>
  <c r="U70" i="48" s="1"/>
  <c r="V70" i="48" s="1"/>
  <c r="W70" i="48" s="1"/>
  <c r="X70" i="48" s="1"/>
  <c r="Y70" i="48" s="1"/>
  <c r="Z70" i="48" s="1"/>
  <c r="AA70" i="48" s="1"/>
  <c r="AB70" i="48" s="1"/>
  <c r="O24" i="48"/>
  <c r="O46" i="48"/>
  <c r="P57" i="48"/>
  <c r="P47" i="48"/>
  <c r="P9" i="48"/>
  <c r="P10" i="48" s="1"/>
  <c r="P11" i="48" s="1"/>
  <c r="P15" i="48" s="1"/>
  <c r="P16" i="48" s="1"/>
  <c r="Q21" i="48"/>
  <c r="P22" i="48"/>
  <c r="R60" i="48"/>
  <c r="R62" i="48" s="1"/>
  <c r="S53" i="48"/>
  <c r="S14" i="48"/>
  <c r="S23" i="48" s="1"/>
  <c r="S63" i="48" s="1"/>
  <c r="Q58" i="48"/>
  <c r="R8" i="48"/>
  <c r="R48" i="48" s="1"/>
  <c r="N50" i="48"/>
  <c r="N51" i="48"/>
  <c r="R23" i="48"/>
  <c r="R63" i="48" s="1"/>
  <c r="S49" i="48"/>
  <c r="S59" i="48" s="1"/>
  <c r="I49" i="33"/>
  <c r="F35" i="34"/>
  <c r="O36" i="31"/>
  <c r="O39" i="31"/>
  <c r="N37" i="30"/>
  <c r="N38" i="30" s="1"/>
  <c r="W20" i="46" l="1"/>
  <c r="R58" i="46"/>
  <c r="S8" i="46"/>
  <c r="S48" i="46" s="1"/>
  <c r="N79" i="46"/>
  <c r="N54" i="46"/>
  <c r="N68" i="46" s="1"/>
  <c r="N71" i="46" s="1"/>
  <c r="S7" i="46"/>
  <c r="S49" i="46" s="1"/>
  <c r="S59" i="46" s="1"/>
  <c r="O101" i="46"/>
  <c r="O64" i="46"/>
  <c r="O90" i="46" s="1"/>
  <c r="R48" i="46"/>
  <c r="S60" i="46"/>
  <c r="S62" i="46" s="1"/>
  <c r="T14" i="46"/>
  <c r="T53" i="46"/>
  <c r="O51" i="46"/>
  <c r="O50" i="46"/>
  <c r="O52" i="46" s="1"/>
  <c r="N26" i="46"/>
  <c r="N56" i="46" s="1"/>
  <c r="N61" i="46" s="1"/>
  <c r="P24" i="46"/>
  <c r="P26" i="46" s="1"/>
  <c r="P56" i="46" s="1"/>
  <c r="P61" i="46" s="1"/>
  <c r="P46" i="46"/>
  <c r="Q57" i="46"/>
  <c r="R21" i="46"/>
  <c r="Q47" i="46"/>
  <c r="Q9" i="46"/>
  <c r="Q10" i="46" s="1"/>
  <c r="Q11" i="46" s="1"/>
  <c r="Q15" i="46" s="1"/>
  <c r="Q16" i="46" s="1"/>
  <c r="Q22" i="46"/>
  <c r="D72" i="47"/>
  <c r="R60" i="47"/>
  <c r="R62" i="47" s="1"/>
  <c r="S53" i="47"/>
  <c r="S14" i="47"/>
  <c r="S23" i="47" s="1"/>
  <c r="S63" i="47" s="1"/>
  <c r="R23" i="47"/>
  <c r="R63" i="47" s="1"/>
  <c r="O52" i="47"/>
  <c r="P51" i="47"/>
  <c r="P50" i="47"/>
  <c r="P52" i="47" s="1"/>
  <c r="S21" i="47"/>
  <c r="R47" i="47"/>
  <c r="R9" i="47"/>
  <c r="R10" i="47" s="1"/>
  <c r="R11" i="47" s="1"/>
  <c r="R15" i="47" s="1"/>
  <c r="R16" i="47" s="1"/>
  <c r="R57" i="47"/>
  <c r="R22" i="47"/>
  <c r="S7" i="47"/>
  <c r="S49" i="47" s="1"/>
  <c r="S59" i="47" s="1"/>
  <c r="P101" i="47"/>
  <c r="P64" i="47"/>
  <c r="P90" i="47" s="1"/>
  <c r="N101" i="47"/>
  <c r="N64" i="47"/>
  <c r="N90" i="47" s="1"/>
  <c r="O101" i="47"/>
  <c r="O64" i="47"/>
  <c r="O90" i="47" s="1"/>
  <c r="R49" i="47"/>
  <c r="R59" i="47" s="1"/>
  <c r="U20" i="47"/>
  <c r="S58" i="47"/>
  <c r="T8" i="47"/>
  <c r="Q46" i="47"/>
  <c r="Q24" i="47"/>
  <c r="Q26" i="47" s="1"/>
  <c r="Q56" i="47" s="1"/>
  <c r="Q61" i="47" s="1"/>
  <c r="M79" i="48"/>
  <c r="O26" i="48"/>
  <c r="O56" i="48" s="1"/>
  <c r="O61" i="48" s="1"/>
  <c r="O101" i="48" s="1"/>
  <c r="N52" i="48"/>
  <c r="N79" i="48" s="1"/>
  <c r="Q57" i="48"/>
  <c r="Q47" i="48"/>
  <c r="R21" i="48"/>
  <c r="Q9" i="48"/>
  <c r="Q10" i="48" s="1"/>
  <c r="Q11" i="48" s="1"/>
  <c r="Q15" i="48" s="1"/>
  <c r="Q16" i="48" s="1"/>
  <c r="Q22" i="48"/>
  <c r="O51" i="48"/>
  <c r="O50" i="48"/>
  <c r="T20" i="48"/>
  <c r="U7" i="48"/>
  <c r="U49" i="48" s="1"/>
  <c r="U59" i="48" s="1"/>
  <c r="R58" i="48"/>
  <c r="S8" i="48"/>
  <c r="S48" i="48" s="1"/>
  <c r="T49" i="48"/>
  <c r="T59" i="48" s="1"/>
  <c r="S60" i="48"/>
  <c r="S62" i="48" s="1"/>
  <c r="T53" i="48"/>
  <c r="T14" i="48"/>
  <c r="P24" i="48"/>
  <c r="P26" i="48" s="1"/>
  <c r="P56" i="48" s="1"/>
  <c r="P61" i="48" s="1"/>
  <c r="P46" i="48"/>
  <c r="N26" i="48"/>
  <c r="N56" i="48" s="1"/>
  <c r="N61" i="48" s="1"/>
  <c r="G35" i="34"/>
  <c r="B37" i="34" s="1"/>
  <c r="N39" i="30"/>
  <c r="N40" i="30" s="1"/>
  <c r="N41" i="30" s="1"/>
  <c r="O64" i="48" l="1"/>
  <c r="O90" i="48" s="1"/>
  <c r="O79" i="46"/>
  <c r="O54" i="46"/>
  <c r="O68" i="46" s="1"/>
  <c r="D72" i="46"/>
  <c r="Q24" i="46"/>
  <c r="Q26" i="46" s="1"/>
  <c r="Q56" i="46" s="1"/>
  <c r="Q61" i="46" s="1"/>
  <c r="Q46" i="46"/>
  <c r="P50" i="46"/>
  <c r="P52" i="46" s="1"/>
  <c r="P51" i="46"/>
  <c r="U53" i="46"/>
  <c r="U14" i="46"/>
  <c r="U23" i="46" s="1"/>
  <c r="U63" i="46" s="1"/>
  <c r="T60" i="46"/>
  <c r="T62" i="46" s="1"/>
  <c r="P101" i="46"/>
  <c r="P64" i="46"/>
  <c r="P90" i="46" s="1"/>
  <c r="S58" i="46"/>
  <c r="T8" i="46"/>
  <c r="X20" i="46"/>
  <c r="T7" i="46"/>
  <c r="R57" i="46"/>
  <c r="R47" i="46"/>
  <c r="S21" i="46"/>
  <c r="R9" i="46"/>
  <c r="R10" i="46" s="1"/>
  <c r="R11" i="46" s="1"/>
  <c r="R15" i="46" s="1"/>
  <c r="R16" i="46" s="1"/>
  <c r="R22" i="46"/>
  <c r="N101" i="46"/>
  <c r="N64" i="46"/>
  <c r="N90" i="46" s="1"/>
  <c r="T23" i="46"/>
  <c r="T63" i="46" s="1"/>
  <c r="V20" i="47"/>
  <c r="P79" i="47"/>
  <c r="P54" i="47"/>
  <c r="P68" i="47" s="1"/>
  <c r="T53" i="47"/>
  <c r="S60" i="47"/>
  <c r="S62" i="47" s="1"/>
  <c r="T14" i="47"/>
  <c r="T58" i="47"/>
  <c r="U8" i="47"/>
  <c r="R24" i="47"/>
  <c r="R26" i="47" s="1"/>
  <c r="R56" i="47" s="1"/>
  <c r="R61" i="47" s="1"/>
  <c r="R46" i="47"/>
  <c r="T21" i="47"/>
  <c r="S57" i="47"/>
  <c r="S47" i="47"/>
  <c r="S9" i="47"/>
  <c r="S10" i="47" s="1"/>
  <c r="S22" i="47"/>
  <c r="O79" i="47"/>
  <c r="O54" i="47"/>
  <c r="O68" i="47" s="1"/>
  <c r="Q101" i="47"/>
  <c r="Q64" i="47"/>
  <c r="Q90" i="47" s="1"/>
  <c r="Q51" i="47"/>
  <c r="Q50" i="47"/>
  <c r="Q52" i="47" s="1"/>
  <c r="T48" i="47"/>
  <c r="S11" i="47"/>
  <c r="S15" i="47" s="1"/>
  <c r="S16" i="47" s="1"/>
  <c r="T7" i="47"/>
  <c r="T49" i="47" s="1"/>
  <c r="T59" i="47" s="1"/>
  <c r="N54" i="48"/>
  <c r="N68" i="48" s="1"/>
  <c r="N71" i="48" s="1"/>
  <c r="T60" i="48"/>
  <c r="T62" i="48" s="1"/>
  <c r="U53" i="48"/>
  <c r="U14" i="48"/>
  <c r="T23" i="48"/>
  <c r="T63" i="48" s="1"/>
  <c r="N101" i="48"/>
  <c r="N64" i="48"/>
  <c r="N90" i="48" s="1"/>
  <c r="U20" i="48"/>
  <c r="Q46" i="48"/>
  <c r="Q24" i="48"/>
  <c r="Q26" i="48" s="1"/>
  <c r="Q56" i="48" s="1"/>
  <c r="Q61" i="48" s="1"/>
  <c r="P51" i="48"/>
  <c r="P50" i="48"/>
  <c r="D72" i="48"/>
  <c r="P101" i="48"/>
  <c r="P64" i="48"/>
  <c r="P90" i="48" s="1"/>
  <c r="S58" i="48"/>
  <c r="T8" i="48"/>
  <c r="V7" i="48"/>
  <c r="V49" i="48"/>
  <c r="V59" i="48" s="1"/>
  <c r="O52" i="48"/>
  <c r="S21" i="48"/>
  <c r="R57" i="48"/>
  <c r="R47" i="48"/>
  <c r="R9" i="48"/>
  <c r="R10" i="48" s="1"/>
  <c r="R11" i="48" s="1"/>
  <c r="R15" i="48" s="1"/>
  <c r="R16" i="48" s="1"/>
  <c r="R22" i="48"/>
  <c r="G35" i="1"/>
  <c r="H35" i="1"/>
  <c r="I35" i="1"/>
  <c r="G34" i="1"/>
  <c r="H34" i="1"/>
  <c r="I34" i="1"/>
  <c r="F35" i="1"/>
  <c r="F34" i="1"/>
  <c r="G22" i="1"/>
  <c r="G24" i="1"/>
  <c r="G21" i="1"/>
  <c r="F22" i="1"/>
  <c r="F24" i="1"/>
  <c r="F21" i="1"/>
  <c r="C12" i="1"/>
  <c r="D12" i="1"/>
  <c r="E12" i="1"/>
  <c r="C13" i="1"/>
  <c r="D13" i="1"/>
  <c r="E13" i="1"/>
  <c r="C15" i="1"/>
  <c r="D15" i="1"/>
  <c r="E15" i="1"/>
  <c r="B15" i="1"/>
  <c r="B12" i="1"/>
  <c r="B13" i="1"/>
  <c r="U7" i="46" l="1"/>
  <c r="U49" i="46" s="1"/>
  <c r="U59" i="46" s="1"/>
  <c r="P79" i="46"/>
  <c r="P54" i="46"/>
  <c r="P68" i="46" s="1"/>
  <c r="T49" i="46"/>
  <c r="T59" i="46" s="1"/>
  <c r="Q51" i="46"/>
  <c r="Q50" i="46"/>
  <c r="Q52" i="46" s="1"/>
  <c r="U8" i="46"/>
  <c r="T58" i="46"/>
  <c r="Q101" i="46"/>
  <c r="Q64" i="46"/>
  <c r="Q90" i="46" s="1"/>
  <c r="R24" i="46"/>
  <c r="R26" i="46" s="1"/>
  <c r="R56" i="46" s="1"/>
  <c r="R61" i="46" s="1"/>
  <c r="R46" i="46"/>
  <c r="T48" i="46"/>
  <c r="V53" i="46"/>
  <c r="U60" i="46"/>
  <c r="U62" i="46" s="1"/>
  <c r="V14" i="46"/>
  <c r="V23" i="46" s="1"/>
  <c r="V63" i="46" s="1"/>
  <c r="Y20" i="46"/>
  <c r="D73" i="46"/>
  <c r="D74" i="46" s="1"/>
  <c r="D76" i="46" s="1"/>
  <c r="O71" i="46"/>
  <c r="S57" i="46"/>
  <c r="S47" i="46"/>
  <c r="T21" i="46"/>
  <c r="S9" i="46"/>
  <c r="S10" i="46" s="1"/>
  <c r="S11" i="46" s="1"/>
  <c r="S15" i="46" s="1"/>
  <c r="S16" i="46" s="1"/>
  <c r="S22" i="46"/>
  <c r="U58" i="47"/>
  <c r="V8" i="47"/>
  <c r="T60" i="47"/>
  <c r="T62" i="47" s="1"/>
  <c r="U53" i="47"/>
  <c r="U14" i="47"/>
  <c r="U23" i="47"/>
  <c r="U63" i="47" s="1"/>
  <c r="T23" i="47"/>
  <c r="T63" i="47" s="1"/>
  <c r="S24" i="47"/>
  <c r="S26" i="47" s="1"/>
  <c r="S56" i="47" s="1"/>
  <c r="S61" i="47" s="1"/>
  <c r="S46" i="47"/>
  <c r="T57" i="47"/>
  <c r="T47" i="47"/>
  <c r="T9" i="47"/>
  <c r="T10" i="47" s="1"/>
  <c r="U21" i="47"/>
  <c r="T22" i="47"/>
  <c r="R50" i="47"/>
  <c r="R52" i="47" s="1"/>
  <c r="R51" i="47"/>
  <c r="W20" i="47"/>
  <c r="Q79" i="47"/>
  <c r="Q54" i="47"/>
  <c r="Q68" i="47" s="1"/>
  <c r="U49" i="47"/>
  <c r="U59" i="47" s="1"/>
  <c r="U7" i="47"/>
  <c r="T11" i="47"/>
  <c r="T15" i="47" s="1"/>
  <c r="T16" i="47" s="1"/>
  <c r="D73" i="47"/>
  <c r="D74" i="47" s="1"/>
  <c r="D76" i="47" s="1"/>
  <c r="O71" i="47"/>
  <c r="R101" i="47"/>
  <c r="R64" i="47"/>
  <c r="R90" i="47" s="1"/>
  <c r="U48" i="47"/>
  <c r="E73" i="47"/>
  <c r="P71" i="47"/>
  <c r="P52" i="48"/>
  <c r="P54" i="48" s="1"/>
  <c r="P68" i="48" s="1"/>
  <c r="P79" i="48"/>
  <c r="V20" i="48"/>
  <c r="U60" i="48"/>
  <c r="U62" i="48" s="1"/>
  <c r="V14" i="48"/>
  <c r="V23" i="48" s="1"/>
  <c r="V63" i="48" s="1"/>
  <c r="V53" i="48"/>
  <c r="T21" i="48"/>
  <c r="S57" i="48"/>
  <c r="S47" i="48"/>
  <c r="S9" i="48"/>
  <c r="S10" i="48" s="1"/>
  <c r="S11" i="48" s="1"/>
  <c r="S15" i="48" s="1"/>
  <c r="S16" i="48" s="1"/>
  <c r="S22" i="48"/>
  <c r="W7" i="48"/>
  <c r="O79" i="48"/>
  <c r="O54" i="48"/>
  <c r="O68" i="48" s="1"/>
  <c r="Q101" i="48"/>
  <c r="Q64" i="48"/>
  <c r="Q90" i="48" s="1"/>
  <c r="T58" i="48"/>
  <c r="U8" i="48"/>
  <c r="U48" i="48" s="1"/>
  <c r="R24" i="48"/>
  <c r="R26" i="48" s="1"/>
  <c r="R56" i="48" s="1"/>
  <c r="R61" i="48" s="1"/>
  <c r="R46" i="48"/>
  <c r="T48" i="48"/>
  <c r="Q51" i="48"/>
  <c r="Q50" i="48"/>
  <c r="U23" i="48"/>
  <c r="U63" i="48" s="1"/>
  <c r="F13" i="1"/>
  <c r="H22" i="1" s="1"/>
  <c r="F12" i="1"/>
  <c r="H21" i="1" s="1"/>
  <c r="F15" i="1"/>
  <c r="H24" i="1" s="1"/>
  <c r="D38" i="46" l="1"/>
  <c r="D39" i="46" s="1"/>
  <c r="D102" i="46" s="1"/>
  <c r="D103" i="46" s="1"/>
  <c r="U58" i="46"/>
  <c r="V8" i="46"/>
  <c r="T57" i="46"/>
  <c r="U21" i="46"/>
  <c r="T9" i="46"/>
  <c r="T10" i="46" s="1"/>
  <c r="T11" i="46" s="1"/>
  <c r="T15" i="46" s="1"/>
  <c r="T16" i="46" s="1"/>
  <c r="T47" i="46"/>
  <c r="T22" i="46"/>
  <c r="R51" i="46"/>
  <c r="R50" i="46"/>
  <c r="U48" i="46"/>
  <c r="V7" i="46"/>
  <c r="V49" i="46" s="1"/>
  <c r="V59" i="46" s="1"/>
  <c r="S46" i="46"/>
  <c r="S24" i="46"/>
  <c r="S26" i="46" s="1"/>
  <c r="S56" i="46" s="1"/>
  <c r="S61" i="46" s="1"/>
  <c r="Z20" i="46"/>
  <c r="R101" i="46"/>
  <c r="R64" i="46"/>
  <c r="R90" i="46" s="1"/>
  <c r="E72" i="46"/>
  <c r="V60" i="46"/>
  <c r="V62" i="46" s="1"/>
  <c r="W53" i="46"/>
  <c r="W14" i="46"/>
  <c r="W23" i="46" s="1"/>
  <c r="W63" i="46" s="1"/>
  <c r="Q79" i="46"/>
  <c r="Q54" i="46"/>
  <c r="Q68" i="46" s="1"/>
  <c r="E73" i="46"/>
  <c r="P71" i="46"/>
  <c r="S51" i="47"/>
  <c r="S50" i="47"/>
  <c r="S52" i="47" s="1"/>
  <c r="V58" i="47"/>
  <c r="W8" i="47"/>
  <c r="W48" i="47" s="1"/>
  <c r="D38" i="47"/>
  <c r="D39" i="47" s="1"/>
  <c r="D102" i="47" s="1"/>
  <c r="D103" i="47" s="1"/>
  <c r="F73" i="47"/>
  <c r="Q71" i="47"/>
  <c r="S101" i="47"/>
  <c r="S64" i="47"/>
  <c r="S90" i="47" s="1"/>
  <c r="U60" i="47"/>
  <c r="U62" i="47" s="1"/>
  <c r="V53" i="47"/>
  <c r="V14" i="47"/>
  <c r="V23" i="47" s="1"/>
  <c r="V63" i="47" s="1"/>
  <c r="E72" i="47"/>
  <c r="E74" i="47" s="1"/>
  <c r="E76" i="47" s="1"/>
  <c r="R79" i="47"/>
  <c r="R54" i="47"/>
  <c r="R68" i="47" s="1"/>
  <c r="V48" i="47"/>
  <c r="U57" i="47"/>
  <c r="U47" i="47"/>
  <c r="V21" i="47"/>
  <c r="U9" i="47"/>
  <c r="U10" i="47" s="1"/>
  <c r="U11" i="47" s="1"/>
  <c r="U15" i="47" s="1"/>
  <c r="U16" i="47" s="1"/>
  <c r="U22" i="47"/>
  <c r="F72" i="47"/>
  <c r="F74" i="47" s="1"/>
  <c r="F76" i="47" s="1"/>
  <c r="V49" i="47"/>
  <c r="V59" i="47" s="1"/>
  <c r="V7" i="47"/>
  <c r="X20" i="47"/>
  <c r="T24" i="47"/>
  <c r="T26" i="47" s="1"/>
  <c r="T56" i="47" s="1"/>
  <c r="T61" i="47" s="1"/>
  <c r="T46" i="47"/>
  <c r="Q52" i="48"/>
  <c r="Q79" i="48" s="1"/>
  <c r="R101" i="48"/>
  <c r="R64" i="48"/>
  <c r="R90" i="48" s="1"/>
  <c r="E73" i="48"/>
  <c r="P71" i="48"/>
  <c r="Q54" i="48"/>
  <c r="Q68" i="48" s="1"/>
  <c r="S24" i="48"/>
  <c r="S26" i="48" s="1"/>
  <c r="S56" i="48" s="1"/>
  <c r="S61" i="48" s="1"/>
  <c r="S46" i="48"/>
  <c r="T57" i="48"/>
  <c r="T47" i="48"/>
  <c r="T9" i="48"/>
  <c r="T10" i="48" s="1"/>
  <c r="T11" i="48" s="1"/>
  <c r="T15" i="48" s="1"/>
  <c r="T16" i="48" s="1"/>
  <c r="U21" i="48"/>
  <c r="T22" i="48"/>
  <c r="U58" i="48"/>
  <c r="V8" i="48"/>
  <c r="O71" i="48"/>
  <c r="D73" i="48"/>
  <c r="D74" i="48" s="1"/>
  <c r="D76" i="48" s="1"/>
  <c r="X7" i="48"/>
  <c r="X49" i="48" s="1"/>
  <c r="X59" i="48" s="1"/>
  <c r="W20" i="48"/>
  <c r="R50" i="48"/>
  <c r="R51" i="48"/>
  <c r="W49" i="48"/>
  <c r="W59" i="48" s="1"/>
  <c r="V60" i="48"/>
  <c r="V62" i="48" s="1"/>
  <c r="W53" i="48"/>
  <c r="W14" i="48"/>
  <c r="D26" i="8"/>
  <c r="E26" i="8"/>
  <c r="E25" i="8"/>
  <c r="E24" i="8"/>
  <c r="E23" i="8"/>
  <c r="E20" i="8"/>
  <c r="E19" i="8"/>
  <c r="E13" i="8"/>
  <c r="E12" i="8"/>
  <c r="C34" i="27"/>
  <c r="B34" i="27"/>
  <c r="F33" i="27"/>
  <c r="D33" i="27"/>
  <c r="E33" i="27" s="1"/>
  <c r="E32" i="27"/>
  <c r="D32" i="27"/>
  <c r="F32" i="27" s="1"/>
  <c r="D31" i="27"/>
  <c r="F31" i="27" s="1"/>
  <c r="F30" i="27"/>
  <c r="E30" i="27"/>
  <c r="D30" i="27"/>
  <c r="F29" i="27"/>
  <c r="D29" i="27"/>
  <c r="E29" i="27" s="1"/>
  <c r="E28" i="27"/>
  <c r="D28" i="27"/>
  <c r="F28" i="27" s="1"/>
  <c r="D27" i="27"/>
  <c r="F27" i="27" s="1"/>
  <c r="F26" i="27"/>
  <c r="E26" i="27"/>
  <c r="D26" i="27"/>
  <c r="F25" i="27"/>
  <c r="D25" i="27"/>
  <c r="E25" i="27" s="1"/>
  <c r="E24" i="27"/>
  <c r="D24" i="27"/>
  <c r="F24" i="27" s="1"/>
  <c r="D23" i="27"/>
  <c r="F23" i="27" s="1"/>
  <c r="F22" i="27"/>
  <c r="E22" i="27"/>
  <c r="D22" i="27"/>
  <c r="F21" i="27"/>
  <c r="F41" i="27" s="1"/>
  <c r="E53" i="27" s="1"/>
  <c r="D21" i="27"/>
  <c r="D34" i="27" s="1"/>
  <c r="C15" i="27"/>
  <c r="E12" i="27"/>
  <c r="D12" i="27"/>
  <c r="E11" i="27"/>
  <c r="D11" i="27"/>
  <c r="E10" i="27"/>
  <c r="D10" i="27"/>
  <c r="E9" i="27"/>
  <c r="D9" i="27"/>
  <c r="E8" i="27"/>
  <c r="D8" i="27"/>
  <c r="E6" i="27"/>
  <c r="C6" i="27"/>
  <c r="C13" i="27" s="1"/>
  <c r="D5" i="27"/>
  <c r="F60" i="28"/>
  <c r="F44" i="28"/>
  <c r="E44" i="28"/>
  <c r="E60" i="28" s="1"/>
  <c r="F43" i="28"/>
  <c r="F59" i="28" s="1"/>
  <c r="E43" i="28"/>
  <c r="E59" i="28" s="1"/>
  <c r="F42" i="28"/>
  <c r="F58" i="28" s="1"/>
  <c r="E42" i="28"/>
  <c r="F41" i="28"/>
  <c r="F57" i="28" s="1"/>
  <c r="E41" i="28"/>
  <c r="E57" i="28" s="1"/>
  <c r="F40" i="28"/>
  <c r="F56" i="28" s="1"/>
  <c r="E40" i="28"/>
  <c r="E56" i="28" s="1"/>
  <c r="F31" i="28"/>
  <c r="C31" i="28"/>
  <c r="F29" i="28"/>
  <c r="C29" i="28"/>
  <c r="N28" i="28"/>
  <c r="N27" i="28"/>
  <c r="F27" i="28"/>
  <c r="C27" i="28"/>
  <c r="N26" i="28"/>
  <c r="N25" i="28"/>
  <c r="F25" i="28"/>
  <c r="C25" i="28"/>
  <c r="N24" i="28"/>
  <c r="N23" i="28"/>
  <c r="F23" i="28"/>
  <c r="C23" i="28"/>
  <c r="F20" i="28"/>
  <c r="F18" i="28"/>
  <c r="F16" i="28"/>
  <c r="F14" i="28"/>
  <c r="F11" i="28"/>
  <c r="G4" i="28"/>
  <c r="G9" i="28" s="1"/>
  <c r="W7" i="46" l="1"/>
  <c r="W49" i="46" s="1"/>
  <c r="W59" i="46" s="1"/>
  <c r="R52" i="46"/>
  <c r="F73" i="46"/>
  <c r="Q71" i="46"/>
  <c r="E74" i="46"/>
  <c r="E76" i="46" s="1"/>
  <c r="AA20" i="46"/>
  <c r="U57" i="46"/>
  <c r="V21" i="46"/>
  <c r="U47" i="46"/>
  <c r="U9" i="46"/>
  <c r="U10" i="46" s="1"/>
  <c r="U11" i="46" s="1"/>
  <c r="U15" i="46" s="1"/>
  <c r="U16" i="46" s="1"/>
  <c r="U22" i="46"/>
  <c r="V58" i="46"/>
  <c r="W48" i="46"/>
  <c r="W8" i="46"/>
  <c r="D104" i="46"/>
  <c r="W60" i="46"/>
  <c r="W62" i="46" s="1"/>
  <c r="X53" i="46"/>
  <c r="X14" i="46"/>
  <c r="X23" i="46" s="1"/>
  <c r="X63" i="46" s="1"/>
  <c r="S101" i="46"/>
  <c r="S64" i="46"/>
  <c r="S90" i="46" s="1"/>
  <c r="T24" i="46"/>
  <c r="T26" i="46" s="1"/>
  <c r="T56" i="46" s="1"/>
  <c r="T61" i="46" s="1"/>
  <c r="T46" i="46"/>
  <c r="F72" i="46"/>
  <c r="S51" i="46"/>
  <c r="S50" i="46"/>
  <c r="S52" i="46" s="1"/>
  <c r="V48" i="46"/>
  <c r="G73" i="47"/>
  <c r="R71" i="47"/>
  <c r="E38" i="47"/>
  <c r="E39" i="47" s="1"/>
  <c r="T51" i="47"/>
  <c r="T50" i="47"/>
  <c r="W7" i="47"/>
  <c r="G72" i="47"/>
  <c r="T101" i="47"/>
  <c r="T64" i="47"/>
  <c r="T90" i="47" s="1"/>
  <c r="U46" i="47"/>
  <c r="U24" i="47"/>
  <c r="U26" i="47" s="1"/>
  <c r="U56" i="47" s="1"/>
  <c r="U61" i="47" s="1"/>
  <c r="W58" i="47"/>
  <c r="X8" i="47"/>
  <c r="S79" i="47"/>
  <c r="S54" i="47"/>
  <c r="S68" i="47" s="1"/>
  <c r="W21" i="47"/>
  <c r="V47" i="47"/>
  <c r="V57" i="47"/>
  <c r="V9" i="47"/>
  <c r="V10" i="47" s="1"/>
  <c r="V11" i="47" s="1"/>
  <c r="V15" i="47" s="1"/>
  <c r="V16" i="47" s="1"/>
  <c r="V22" i="47"/>
  <c r="Y20" i="47"/>
  <c r="F38" i="47"/>
  <c r="F39" i="47" s="1"/>
  <c r="F102" i="47" s="1"/>
  <c r="V60" i="47"/>
  <c r="V62" i="47" s="1"/>
  <c r="W53" i="47"/>
  <c r="W14" i="47"/>
  <c r="W23" i="47" s="1"/>
  <c r="W63" i="47" s="1"/>
  <c r="D104" i="47"/>
  <c r="W60" i="48"/>
  <c r="W62" i="48" s="1"/>
  <c r="X53" i="48"/>
  <c r="X14" i="48"/>
  <c r="X23" i="48" s="1"/>
  <c r="X63" i="48" s="1"/>
  <c r="U57" i="48"/>
  <c r="U47" i="48"/>
  <c r="V21" i="48"/>
  <c r="U9" i="48"/>
  <c r="U10" i="48" s="1"/>
  <c r="U11" i="48" s="1"/>
  <c r="U15" i="48" s="1"/>
  <c r="U16" i="48" s="1"/>
  <c r="U22" i="48"/>
  <c r="S51" i="48"/>
  <c r="S50" i="48"/>
  <c r="R52" i="48"/>
  <c r="X20" i="48"/>
  <c r="E72" i="48"/>
  <c r="E74" i="48" s="1"/>
  <c r="E76" i="48" s="1"/>
  <c r="F73" i="48"/>
  <c r="Q71" i="48"/>
  <c r="Y7" i="48"/>
  <c r="V58" i="48"/>
  <c r="W8" i="48"/>
  <c r="F72" i="48"/>
  <c r="D38" i="48"/>
  <c r="D39" i="48" s="1"/>
  <c r="D102" i="48" s="1"/>
  <c r="D103" i="48" s="1"/>
  <c r="S101" i="48"/>
  <c r="S64" i="48"/>
  <c r="S90" i="48" s="1"/>
  <c r="W23" i="48"/>
  <c r="W63" i="48" s="1"/>
  <c r="V48" i="48"/>
  <c r="T24" i="48"/>
  <c r="T26" i="48" s="1"/>
  <c r="T56" i="48" s="1"/>
  <c r="T61" i="48" s="1"/>
  <c r="T46" i="48"/>
  <c r="D42" i="28"/>
  <c r="D58" i="28" s="1"/>
  <c r="D44" i="28"/>
  <c r="D60" i="28" s="1"/>
  <c r="D41" i="28"/>
  <c r="D57" i="28" s="1"/>
  <c r="D40" i="28"/>
  <c r="F34" i="27"/>
  <c r="F36" i="27" s="1"/>
  <c r="E48" i="27" s="1"/>
  <c r="E34" i="27"/>
  <c r="C16" i="27"/>
  <c r="E13" i="27"/>
  <c r="D13" i="27"/>
  <c r="E23" i="27"/>
  <c r="E27" i="27"/>
  <c r="E31" i="27"/>
  <c r="F39" i="27"/>
  <c r="E51" i="27" s="1"/>
  <c r="F38" i="27"/>
  <c r="E50" i="27" s="1"/>
  <c r="F40" i="27"/>
  <c r="E52" i="27" s="1"/>
  <c r="F42" i="27"/>
  <c r="E54" i="27" s="1"/>
  <c r="D6" i="27"/>
  <c r="E21" i="27"/>
  <c r="F37" i="27"/>
  <c r="E49" i="27" s="1"/>
  <c r="H9" i="28"/>
  <c r="G10" i="28"/>
  <c r="D43" i="28"/>
  <c r="D59" i="28" s="1"/>
  <c r="E58" i="28"/>
  <c r="D56" i="28"/>
  <c r="AA102" i="22"/>
  <c r="C101" i="22"/>
  <c r="I100" i="22"/>
  <c r="J100" i="22" s="1"/>
  <c r="K100" i="22" s="1"/>
  <c r="L100" i="22" s="1"/>
  <c r="M100" i="22" s="1"/>
  <c r="N100" i="22" s="1"/>
  <c r="O100" i="22" s="1"/>
  <c r="P100" i="22" s="1"/>
  <c r="Q100" i="22" s="1"/>
  <c r="R100" i="22" s="1"/>
  <c r="S100" i="22" s="1"/>
  <c r="T100" i="22" s="1"/>
  <c r="U100" i="22" s="1"/>
  <c r="V100" i="22" s="1"/>
  <c r="W100" i="22" s="1"/>
  <c r="X100" i="22" s="1"/>
  <c r="Y100" i="22" s="1"/>
  <c r="Z100" i="22" s="1"/>
  <c r="AA100" i="22" s="1"/>
  <c r="E100" i="22"/>
  <c r="F100" i="22" s="1"/>
  <c r="G100" i="22" s="1"/>
  <c r="H100" i="22" s="1"/>
  <c r="C97" i="22"/>
  <c r="C92" i="22"/>
  <c r="AA91" i="22"/>
  <c r="C90" i="22"/>
  <c r="E89" i="22"/>
  <c r="F89" i="22" s="1"/>
  <c r="G89" i="22" s="1"/>
  <c r="H89" i="22" s="1"/>
  <c r="I89" i="22" s="1"/>
  <c r="J89" i="22" s="1"/>
  <c r="K89" i="22" s="1"/>
  <c r="L89" i="22" s="1"/>
  <c r="M89" i="22" s="1"/>
  <c r="N89" i="22" s="1"/>
  <c r="O89" i="22" s="1"/>
  <c r="P89" i="22" s="1"/>
  <c r="Q89" i="22" s="1"/>
  <c r="R89" i="22" s="1"/>
  <c r="S89" i="22" s="1"/>
  <c r="T89" i="22" s="1"/>
  <c r="U89" i="22" s="1"/>
  <c r="V89" i="22" s="1"/>
  <c r="W89" i="22" s="1"/>
  <c r="X89" i="22" s="1"/>
  <c r="Y89" i="22" s="1"/>
  <c r="Z89" i="22" s="1"/>
  <c r="AA89" i="22" s="1"/>
  <c r="C86" i="22"/>
  <c r="AA80" i="22"/>
  <c r="C80" i="22"/>
  <c r="C81" i="22" s="1"/>
  <c r="C79" i="22"/>
  <c r="K78" i="22"/>
  <c r="L78" i="22" s="1"/>
  <c r="M78" i="22" s="1"/>
  <c r="N78" i="22" s="1"/>
  <c r="O78" i="22" s="1"/>
  <c r="P78" i="22" s="1"/>
  <c r="Q78" i="22" s="1"/>
  <c r="R78" i="22" s="1"/>
  <c r="S78" i="22" s="1"/>
  <c r="T78" i="22" s="1"/>
  <c r="U78" i="22" s="1"/>
  <c r="V78" i="22" s="1"/>
  <c r="W78" i="22" s="1"/>
  <c r="X78" i="22" s="1"/>
  <c r="Y78" i="22" s="1"/>
  <c r="Z78" i="22" s="1"/>
  <c r="AA78" i="22" s="1"/>
  <c r="E78" i="22"/>
  <c r="F78" i="22" s="1"/>
  <c r="G78" i="22" s="1"/>
  <c r="H78" i="22" s="1"/>
  <c r="I78" i="22" s="1"/>
  <c r="J78" i="22" s="1"/>
  <c r="C75" i="22"/>
  <c r="AA69" i="22"/>
  <c r="L69" i="22"/>
  <c r="K69" i="22"/>
  <c r="D69" i="22"/>
  <c r="C68" i="22"/>
  <c r="E67" i="22"/>
  <c r="F67" i="22" s="1"/>
  <c r="G67" i="22" s="1"/>
  <c r="H67" i="22" s="1"/>
  <c r="I67" i="22" s="1"/>
  <c r="J67" i="22" s="1"/>
  <c r="K67" i="22" s="1"/>
  <c r="L67" i="22" s="1"/>
  <c r="M67" i="22" s="1"/>
  <c r="N67" i="22" s="1"/>
  <c r="O67" i="22" s="1"/>
  <c r="P67" i="22" s="1"/>
  <c r="Q67" i="22" s="1"/>
  <c r="R67" i="22" s="1"/>
  <c r="S67" i="22" s="1"/>
  <c r="T67" i="22" s="1"/>
  <c r="U67" i="22" s="1"/>
  <c r="V67" i="22" s="1"/>
  <c r="W67" i="22" s="1"/>
  <c r="X67" i="22" s="1"/>
  <c r="Y67" i="22" s="1"/>
  <c r="Z67" i="22" s="1"/>
  <c r="AA67" i="22" s="1"/>
  <c r="M58" i="22"/>
  <c r="L58" i="22"/>
  <c r="K58" i="22"/>
  <c r="J58" i="22"/>
  <c r="I58" i="22"/>
  <c r="H58" i="22"/>
  <c r="G58" i="22"/>
  <c r="F58" i="22"/>
  <c r="E58" i="22"/>
  <c r="D58" i="22"/>
  <c r="L57" i="22"/>
  <c r="K57" i="22"/>
  <c r="J57" i="22"/>
  <c r="I57" i="22"/>
  <c r="H57" i="22"/>
  <c r="G57" i="22"/>
  <c r="F57" i="22"/>
  <c r="E57" i="22"/>
  <c r="D57" i="22"/>
  <c r="M48" i="22"/>
  <c r="L48" i="22"/>
  <c r="K48" i="22"/>
  <c r="J48" i="22"/>
  <c r="I48" i="22"/>
  <c r="H48" i="22"/>
  <c r="G48" i="22"/>
  <c r="F48" i="22"/>
  <c r="E48" i="22"/>
  <c r="D48" i="22"/>
  <c r="L47" i="22"/>
  <c r="K47" i="22"/>
  <c r="J47" i="22"/>
  <c r="I47" i="22"/>
  <c r="H47" i="22"/>
  <c r="G47" i="22"/>
  <c r="F47" i="22"/>
  <c r="E47" i="22"/>
  <c r="D47" i="22"/>
  <c r="E46" i="22"/>
  <c r="D46" i="22"/>
  <c r="E44" i="22"/>
  <c r="F44" i="22" s="1"/>
  <c r="G44" i="22" s="1"/>
  <c r="H44" i="22" s="1"/>
  <c r="I44" i="22" s="1"/>
  <c r="J44" i="22" s="1"/>
  <c r="K44" i="22" s="1"/>
  <c r="L44" i="22" s="1"/>
  <c r="M44" i="22" s="1"/>
  <c r="N44" i="22" s="1"/>
  <c r="O44" i="22" s="1"/>
  <c r="P44" i="22" s="1"/>
  <c r="Q44" i="22" s="1"/>
  <c r="R44" i="22" s="1"/>
  <c r="S44" i="22" s="1"/>
  <c r="T44" i="22" s="1"/>
  <c r="U44" i="22" s="1"/>
  <c r="V44" i="22" s="1"/>
  <c r="W44" i="22" s="1"/>
  <c r="X44" i="22" s="1"/>
  <c r="Y44" i="22" s="1"/>
  <c r="Z44" i="22" s="1"/>
  <c r="AA44" i="22" s="1"/>
  <c r="AA37" i="22"/>
  <c r="P37" i="22"/>
  <c r="P69" i="22" s="1"/>
  <c r="O37" i="22"/>
  <c r="O69" i="22" s="1"/>
  <c r="N37" i="22"/>
  <c r="N69" i="22" s="1"/>
  <c r="M37" i="22"/>
  <c r="M69" i="22" s="1"/>
  <c r="L37" i="22"/>
  <c r="K37" i="22"/>
  <c r="J37" i="22"/>
  <c r="J69" i="22" s="1"/>
  <c r="I37" i="22"/>
  <c r="I69" i="22" s="1"/>
  <c r="H37" i="22"/>
  <c r="H69" i="22" s="1"/>
  <c r="G37" i="22"/>
  <c r="G69" i="22" s="1"/>
  <c r="F37" i="22"/>
  <c r="F69" i="22" s="1"/>
  <c r="E37" i="22"/>
  <c r="E69" i="22" s="1"/>
  <c r="D37" i="22"/>
  <c r="D53" i="22" s="1"/>
  <c r="C37" i="22"/>
  <c r="C69" i="22" s="1"/>
  <c r="C70" i="22" s="1"/>
  <c r="D70" i="22" s="1"/>
  <c r="AA36" i="22"/>
  <c r="Z36" i="22"/>
  <c r="Y36" i="22"/>
  <c r="X36" i="22"/>
  <c r="W36" i="22"/>
  <c r="V36" i="22"/>
  <c r="U36" i="22"/>
  <c r="T36" i="22"/>
  <c r="S36" i="22"/>
  <c r="R36" i="22"/>
  <c r="P36" i="22"/>
  <c r="Q36" i="22" s="1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E22" i="22"/>
  <c r="D22" i="22"/>
  <c r="M21" i="22"/>
  <c r="N21" i="22" s="1"/>
  <c r="F20" i="22"/>
  <c r="F22" i="22" s="1"/>
  <c r="D10" i="22"/>
  <c r="C10" i="22"/>
  <c r="C11" i="22" s="1"/>
  <c r="C15" i="22" s="1"/>
  <c r="D9" i="22"/>
  <c r="E9" i="22" s="1"/>
  <c r="D7" i="22"/>
  <c r="G74" i="47" l="1"/>
  <c r="G76" i="47" s="1"/>
  <c r="F74" i="46"/>
  <c r="F76" i="46" s="1"/>
  <c r="V57" i="46"/>
  <c r="V47" i="46"/>
  <c r="W21" i="46"/>
  <c r="V9" i="46"/>
  <c r="V10" i="46" s="1"/>
  <c r="V11" i="46" s="1"/>
  <c r="V15" i="46" s="1"/>
  <c r="V16" i="46" s="1"/>
  <c r="V22" i="46"/>
  <c r="E38" i="46"/>
  <c r="E39" i="46" s="1"/>
  <c r="X7" i="46"/>
  <c r="S79" i="46"/>
  <c r="S54" i="46"/>
  <c r="S68" i="46" s="1"/>
  <c r="T50" i="46"/>
  <c r="T51" i="46"/>
  <c r="W58" i="46"/>
  <c r="X8" i="46"/>
  <c r="X48" i="46" s="1"/>
  <c r="U24" i="46"/>
  <c r="U26" i="46" s="1"/>
  <c r="U56" i="46" s="1"/>
  <c r="U61" i="46" s="1"/>
  <c r="U46" i="46"/>
  <c r="G72" i="46"/>
  <c r="T101" i="46"/>
  <c r="T64" i="46"/>
  <c r="T90" i="46" s="1"/>
  <c r="Y53" i="46"/>
  <c r="X60" i="46"/>
  <c r="X62" i="46" s="1"/>
  <c r="Y14" i="46"/>
  <c r="Y23" i="46" s="1"/>
  <c r="Y63" i="46" s="1"/>
  <c r="AB20" i="46"/>
  <c r="R54" i="46"/>
  <c r="R68" i="46" s="1"/>
  <c r="R79" i="46"/>
  <c r="X58" i="47"/>
  <c r="Y8" i="47"/>
  <c r="X7" i="47"/>
  <c r="X49" i="47" s="1"/>
  <c r="X59" i="47" s="1"/>
  <c r="W11" i="47"/>
  <c r="W15" i="47" s="1"/>
  <c r="F41" i="47"/>
  <c r="F91" i="47" s="1"/>
  <c r="V24" i="47"/>
  <c r="V26" i="47" s="1"/>
  <c r="V56" i="47" s="1"/>
  <c r="V61" i="47" s="1"/>
  <c r="V46" i="47"/>
  <c r="X21" i="47"/>
  <c r="W57" i="47"/>
  <c r="W47" i="47"/>
  <c r="W9" i="47"/>
  <c r="W10" i="47" s="1"/>
  <c r="W22" i="47"/>
  <c r="U51" i="47"/>
  <c r="U50" i="47"/>
  <c r="U52" i="47" s="1"/>
  <c r="F40" i="47"/>
  <c r="F80" i="47" s="1"/>
  <c r="G38" i="47"/>
  <c r="G39" i="47" s="1"/>
  <c r="H73" i="47"/>
  <c r="S71" i="47"/>
  <c r="I72" i="47" s="1"/>
  <c r="W49" i="47"/>
  <c r="W59" i="47" s="1"/>
  <c r="H72" i="47"/>
  <c r="U101" i="47"/>
  <c r="U64" i="47"/>
  <c r="U90" i="47" s="1"/>
  <c r="W60" i="47"/>
  <c r="W62" i="47" s="1"/>
  <c r="X53" i="47"/>
  <c r="W16" i="47"/>
  <c r="X14" i="47"/>
  <c r="X23" i="47" s="1"/>
  <c r="X63" i="47" s="1"/>
  <c r="Z20" i="47"/>
  <c r="X48" i="47"/>
  <c r="T52" i="47"/>
  <c r="E102" i="47"/>
  <c r="E103" i="47" s="1"/>
  <c r="E40" i="47"/>
  <c r="E80" i="47" s="1"/>
  <c r="E81" i="47" s="1"/>
  <c r="E41" i="47"/>
  <c r="E91" i="47" s="1"/>
  <c r="E92" i="47" s="1"/>
  <c r="S52" i="48"/>
  <c r="S54" i="48" s="1"/>
  <c r="S68" i="48" s="1"/>
  <c r="W58" i="48"/>
  <c r="X8" i="48"/>
  <c r="E38" i="48"/>
  <c r="E39" i="48" s="1"/>
  <c r="S79" i="48"/>
  <c r="W21" i="48"/>
  <c r="V57" i="48"/>
  <c r="V47" i="48"/>
  <c r="V9" i="48"/>
  <c r="V10" i="48" s="1"/>
  <c r="V11" i="48" s="1"/>
  <c r="V15" i="48" s="1"/>
  <c r="V16" i="48" s="1"/>
  <c r="V22" i="48"/>
  <c r="T51" i="48"/>
  <c r="T50" i="48"/>
  <c r="Z7" i="48"/>
  <c r="G72" i="48"/>
  <c r="Y20" i="48"/>
  <c r="T101" i="48"/>
  <c r="T64" i="48"/>
  <c r="T90" i="48" s="1"/>
  <c r="Y49" i="48"/>
  <c r="Y59" i="48" s="1"/>
  <c r="U46" i="48"/>
  <c r="U24" i="48"/>
  <c r="U26" i="48" s="1"/>
  <c r="U56" i="48" s="1"/>
  <c r="U61" i="48" s="1"/>
  <c r="D104" i="48"/>
  <c r="F74" i="48"/>
  <c r="F76" i="48" s="1"/>
  <c r="W48" i="48"/>
  <c r="R79" i="48"/>
  <c r="R54" i="48"/>
  <c r="R68" i="48" s="1"/>
  <c r="X60" i="48"/>
  <c r="X62" i="48" s="1"/>
  <c r="Y53" i="48"/>
  <c r="Y14" i="48"/>
  <c r="C17" i="27"/>
  <c r="C18" i="27" s="1"/>
  <c r="H10" i="28"/>
  <c r="G11" i="28"/>
  <c r="D66" i="28"/>
  <c r="D50" i="28"/>
  <c r="M47" i="22"/>
  <c r="C82" i="22"/>
  <c r="M57" i="22"/>
  <c r="D11" i="22"/>
  <c r="D14" i="22" s="1"/>
  <c r="D49" i="22"/>
  <c r="D59" i="22" s="1"/>
  <c r="C93" i="22"/>
  <c r="C16" i="22"/>
  <c r="D15" i="22"/>
  <c r="E15" i="22" s="1"/>
  <c r="F15" i="22" s="1"/>
  <c r="G15" i="22" s="1"/>
  <c r="H15" i="22" s="1"/>
  <c r="I15" i="22" s="1"/>
  <c r="J15" i="22" s="1"/>
  <c r="K15" i="22" s="1"/>
  <c r="L15" i="22" s="1"/>
  <c r="M15" i="22" s="1"/>
  <c r="N15" i="22" s="1"/>
  <c r="O15" i="22" s="1"/>
  <c r="P15" i="22" s="1"/>
  <c r="Q15" i="22" s="1"/>
  <c r="R15" i="22" s="1"/>
  <c r="S15" i="22" s="1"/>
  <c r="T15" i="22" s="1"/>
  <c r="U15" i="22" s="1"/>
  <c r="V15" i="22" s="1"/>
  <c r="W15" i="22" s="1"/>
  <c r="X15" i="22" s="1"/>
  <c r="Y15" i="22" s="1"/>
  <c r="Z15" i="22" s="1"/>
  <c r="AA15" i="22" s="1"/>
  <c r="E10" i="22"/>
  <c r="F9" i="22"/>
  <c r="E70" i="22"/>
  <c r="E51" i="22"/>
  <c r="AA103" i="22"/>
  <c r="Q37" i="22"/>
  <c r="D51" i="22"/>
  <c r="C71" i="22"/>
  <c r="N57" i="22"/>
  <c r="N47" i="22"/>
  <c r="N8" i="22"/>
  <c r="O21" i="22"/>
  <c r="F46" i="22"/>
  <c r="G20" i="22"/>
  <c r="E7" i="22"/>
  <c r="E38" i="18"/>
  <c r="E37" i="18"/>
  <c r="E36" i="18"/>
  <c r="D36" i="18"/>
  <c r="D37" i="18" s="1"/>
  <c r="D38" i="18" s="1"/>
  <c r="C36" i="18"/>
  <c r="E23" i="18"/>
  <c r="D23" i="18"/>
  <c r="D24" i="18" s="1"/>
  <c r="C23" i="18"/>
  <c r="E9" i="18"/>
  <c r="E10" i="18" s="1"/>
  <c r="D9" i="18"/>
  <c r="C9" i="18"/>
  <c r="C10" i="18" s="1"/>
  <c r="N65" i="23"/>
  <c r="C49" i="23"/>
  <c r="S34" i="23"/>
  <c r="M34" i="23" s="1"/>
  <c r="I34" i="23"/>
  <c r="C34" i="23" s="1"/>
  <c r="S33" i="23"/>
  <c r="M33" i="23" s="1"/>
  <c r="I33" i="23"/>
  <c r="C33" i="23"/>
  <c r="S32" i="23"/>
  <c r="I32" i="23"/>
  <c r="R31" i="23"/>
  <c r="Q31" i="23"/>
  <c r="P31" i="23"/>
  <c r="H31" i="23"/>
  <c r="G31" i="23"/>
  <c r="F31" i="23"/>
  <c r="R30" i="23"/>
  <c r="Q30" i="23"/>
  <c r="M30" i="23" s="1"/>
  <c r="P30" i="23"/>
  <c r="H30" i="23"/>
  <c r="G30" i="23"/>
  <c r="F30" i="23"/>
  <c r="R29" i="23"/>
  <c r="Q29" i="23"/>
  <c r="P29" i="23"/>
  <c r="H29" i="23"/>
  <c r="G29" i="23"/>
  <c r="F29" i="23"/>
  <c r="R28" i="23"/>
  <c r="Q28" i="23"/>
  <c r="P28" i="23"/>
  <c r="H28" i="23"/>
  <c r="G28" i="23"/>
  <c r="G35" i="23" s="1"/>
  <c r="F28" i="23"/>
  <c r="S22" i="23"/>
  <c r="M22" i="23" s="1"/>
  <c r="H22" i="23"/>
  <c r="S21" i="23"/>
  <c r="S23" i="23" s="1"/>
  <c r="H21" i="23"/>
  <c r="C21" i="23" s="1"/>
  <c r="S20" i="23"/>
  <c r="M20" i="23"/>
  <c r="H20" i="23"/>
  <c r="R19" i="23"/>
  <c r="Q19" i="23"/>
  <c r="P19" i="23"/>
  <c r="G19" i="23"/>
  <c r="F19" i="23"/>
  <c r="E19" i="23"/>
  <c r="R18" i="23"/>
  <c r="Q18" i="23"/>
  <c r="P18" i="23"/>
  <c r="G18" i="23"/>
  <c r="F18" i="23"/>
  <c r="E18" i="23"/>
  <c r="R17" i="23"/>
  <c r="Q17" i="23"/>
  <c r="P17" i="23"/>
  <c r="G17" i="23"/>
  <c r="G23" i="23" s="1"/>
  <c r="F17" i="23"/>
  <c r="E17" i="23"/>
  <c r="R16" i="23"/>
  <c r="Q16" i="23"/>
  <c r="Q23" i="23" s="1"/>
  <c r="P16" i="23"/>
  <c r="G16" i="23"/>
  <c r="F16" i="23"/>
  <c r="E16" i="23"/>
  <c r="M11" i="23"/>
  <c r="C11" i="23"/>
  <c r="M10" i="23"/>
  <c r="C10" i="23"/>
  <c r="M9" i="23"/>
  <c r="C9" i="23"/>
  <c r="D19" i="24"/>
  <c r="D18" i="24"/>
  <c r="E18" i="24" s="1"/>
  <c r="F18" i="24" s="1"/>
  <c r="G18" i="24" s="1"/>
  <c r="H18" i="24" s="1"/>
  <c r="I18" i="24" s="1"/>
  <c r="J18" i="24" s="1"/>
  <c r="K18" i="24" s="1"/>
  <c r="L18" i="24" s="1"/>
  <c r="M18" i="24" s="1"/>
  <c r="D15" i="24"/>
  <c r="C10" i="24"/>
  <c r="Y7" i="46" l="1"/>
  <c r="Y49" i="46" s="1"/>
  <c r="Y59" i="46" s="1"/>
  <c r="W57" i="46"/>
  <c r="W47" i="46"/>
  <c r="X21" i="46"/>
  <c r="W9" i="46"/>
  <c r="W10" i="46" s="1"/>
  <c r="W11" i="46" s="1"/>
  <c r="W15" i="46" s="1"/>
  <c r="W16" i="46" s="1"/>
  <c r="W22" i="46"/>
  <c r="Z53" i="46"/>
  <c r="Y60" i="46"/>
  <c r="Y62" i="46" s="1"/>
  <c r="Z14" i="46"/>
  <c r="Z23" i="46" s="1"/>
  <c r="Z63" i="46" s="1"/>
  <c r="T52" i="46"/>
  <c r="X49" i="46"/>
  <c r="X59" i="46" s="1"/>
  <c r="F38" i="46"/>
  <c r="F39" i="46" s="1"/>
  <c r="G73" i="46"/>
  <c r="G74" i="46" s="1"/>
  <c r="G76" i="46" s="1"/>
  <c r="R71" i="46"/>
  <c r="U51" i="46"/>
  <c r="U50" i="46"/>
  <c r="U52" i="46" s="1"/>
  <c r="X58" i="46"/>
  <c r="Y8" i="46"/>
  <c r="H73" i="46"/>
  <c r="S71" i="46"/>
  <c r="V24" i="46"/>
  <c r="V26" i="46" s="1"/>
  <c r="V56" i="46" s="1"/>
  <c r="V61" i="46" s="1"/>
  <c r="V46" i="46"/>
  <c r="U101" i="46"/>
  <c r="U64" i="46"/>
  <c r="U90" i="46" s="1"/>
  <c r="E102" i="46"/>
  <c r="E103" i="46" s="1"/>
  <c r="E41" i="46"/>
  <c r="E91" i="46" s="1"/>
  <c r="E92" i="46" s="1"/>
  <c r="E40" i="46"/>
  <c r="E80" i="46" s="1"/>
  <c r="E81" i="46" s="1"/>
  <c r="F92" i="47"/>
  <c r="E93" i="47"/>
  <c r="W24" i="47"/>
  <c r="W26" i="47" s="1"/>
  <c r="W56" i="47" s="1"/>
  <c r="W61" i="47" s="1"/>
  <c r="W46" i="47"/>
  <c r="X57" i="47"/>
  <c r="X47" i="47"/>
  <c r="Y21" i="47"/>
  <c r="X9" i="47"/>
  <c r="X10" i="47" s="1"/>
  <c r="X11" i="47" s="1"/>
  <c r="X15" i="47" s="1"/>
  <c r="X16" i="47" s="1"/>
  <c r="X22" i="47"/>
  <c r="Y58" i="47"/>
  <c r="Z8" i="47"/>
  <c r="Z48" i="47" s="1"/>
  <c r="F81" i="47"/>
  <c r="E82" i="47"/>
  <c r="V51" i="47"/>
  <c r="V50" i="47"/>
  <c r="Y7" i="47"/>
  <c r="F103" i="47"/>
  <c r="E104" i="47"/>
  <c r="AA20" i="47"/>
  <c r="G102" i="47"/>
  <c r="G41" i="47"/>
  <c r="G91" i="47" s="1"/>
  <c r="G40" i="47"/>
  <c r="G80" i="47" s="1"/>
  <c r="U79" i="47"/>
  <c r="U54" i="47"/>
  <c r="U68" i="47" s="1"/>
  <c r="V101" i="47"/>
  <c r="V64" i="47"/>
  <c r="V90" i="47" s="1"/>
  <c r="Y48" i="47"/>
  <c r="T79" i="47"/>
  <c r="T54" i="47"/>
  <c r="T68" i="47" s="1"/>
  <c r="X60" i="47"/>
  <c r="X62" i="47" s="1"/>
  <c r="Y53" i="47"/>
  <c r="Y14" i="47"/>
  <c r="Y23" i="47" s="1"/>
  <c r="Y63" i="47" s="1"/>
  <c r="H74" i="47"/>
  <c r="H76" i="47" s="1"/>
  <c r="T52" i="48"/>
  <c r="T79" i="48" s="1"/>
  <c r="Y60" i="48"/>
  <c r="Y62" i="48" s="1"/>
  <c r="Z53" i="48"/>
  <c r="Z14" i="48"/>
  <c r="Z23" i="48" s="1"/>
  <c r="Z63" i="48" s="1"/>
  <c r="U101" i="48"/>
  <c r="U64" i="48"/>
  <c r="U90" i="48" s="1"/>
  <c r="E102" i="48"/>
  <c r="E103" i="48" s="1"/>
  <c r="E40" i="48"/>
  <c r="E80" i="48" s="1"/>
  <c r="E81" i="48" s="1"/>
  <c r="E41" i="48"/>
  <c r="E91" i="48" s="1"/>
  <c r="E92" i="48" s="1"/>
  <c r="Y23" i="48"/>
  <c r="Y63" i="48" s="1"/>
  <c r="G73" i="48"/>
  <c r="G74" i="48" s="1"/>
  <c r="G76" i="48" s="1"/>
  <c r="R71" i="48"/>
  <c r="F38" i="48"/>
  <c r="F39" i="48" s="1"/>
  <c r="U51" i="48"/>
  <c r="U50" i="48"/>
  <c r="Z20" i="48"/>
  <c r="V24" i="48"/>
  <c r="V26" i="48" s="1"/>
  <c r="V56" i="48" s="1"/>
  <c r="V61" i="48" s="1"/>
  <c r="V46" i="48"/>
  <c r="X21" i="48"/>
  <c r="W57" i="48"/>
  <c r="W47" i="48"/>
  <c r="W9" i="48"/>
  <c r="W10" i="48" s="1"/>
  <c r="W11" i="48" s="1"/>
  <c r="W15" i="48" s="1"/>
  <c r="W16" i="48" s="1"/>
  <c r="W22" i="48"/>
  <c r="AA7" i="48"/>
  <c r="AA49" i="48" s="1"/>
  <c r="AA59" i="48" s="1"/>
  <c r="X58" i="48"/>
  <c r="Y8" i="48"/>
  <c r="Y48" i="48" s="1"/>
  <c r="Z49" i="48"/>
  <c r="Z59" i="48" s="1"/>
  <c r="H73" i="48"/>
  <c r="S71" i="48"/>
  <c r="X48" i="48"/>
  <c r="E15" i="24"/>
  <c r="D35" i="24"/>
  <c r="C22" i="24"/>
  <c r="C25" i="24" s="1"/>
  <c r="M31" i="23"/>
  <c r="M29" i="23"/>
  <c r="P35" i="23"/>
  <c r="R35" i="23"/>
  <c r="C31" i="23"/>
  <c r="S35" i="23"/>
  <c r="P23" i="23"/>
  <c r="Q35" i="23"/>
  <c r="G13" i="28"/>
  <c r="G12" i="28"/>
  <c r="H12" i="28" s="1"/>
  <c r="R23" i="23"/>
  <c r="M17" i="23"/>
  <c r="M19" i="23"/>
  <c r="H35" i="23"/>
  <c r="C30" i="23"/>
  <c r="C25" i="18"/>
  <c r="C39" i="18" s="1"/>
  <c r="C19" i="23"/>
  <c r="M28" i="23"/>
  <c r="C29" i="23"/>
  <c r="D11" i="18"/>
  <c r="D39" i="18" s="1"/>
  <c r="D40" i="18" s="1"/>
  <c r="D42" i="18" s="1"/>
  <c r="M16" i="23"/>
  <c r="M18" i="23"/>
  <c r="F35" i="23"/>
  <c r="I35" i="23"/>
  <c r="C11" i="18"/>
  <c r="C26" i="18" s="1"/>
  <c r="D10" i="18"/>
  <c r="C24" i="18"/>
  <c r="D50" i="22"/>
  <c r="D52" i="22" s="1"/>
  <c r="D79" i="22" s="1"/>
  <c r="H20" i="22"/>
  <c r="G22" i="22"/>
  <c r="E11" i="22"/>
  <c r="E14" i="22" s="1"/>
  <c r="E23" i="22" s="1"/>
  <c r="F7" i="22"/>
  <c r="F49" i="22" s="1"/>
  <c r="E49" i="22"/>
  <c r="N58" i="22"/>
  <c r="N48" i="22"/>
  <c r="O48" i="22"/>
  <c r="O8" i="22"/>
  <c r="Q69" i="22"/>
  <c r="R37" i="22"/>
  <c r="F10" i="22"/>
  <c r="G9" i="22"/>
  <c r="O57" i="22"/>
  <c r="O47" i="22"/>
  <c r="P21" i="22"/>
  <c r="F70" i="22"/>
  <c r="F51" i="22"/>
  <c r="D75" i="22"/>
  <c r="D16" i="22"/>
  <c r="D86" i="22"/>
  <c r="E53" i="22"/>
  <c r="D23" i="22"/>
  <c r="D60" i="22"/>
  <c r="D62" i="22" s="1"/>
  <c r="D97" i="22"/>
  <c r="E11" i="18"/>
  <c r="D25" i="18"/>
  <c r="C37" i="18"/>
  <c r="C38" i="18" s="1"/>
  <c r="E24" i="18"/>
  <c r="E25" i="18" s="1"/>
  <c r="C17" i="23"/>
  <c r="C22" i="23"/>
  <c r="M32" i="23"/>
  <c r="M35" i="23" s="1"/>
  <c r="M21" i="23"/>
  <c r="F23" i="23"/>
  <c r="C28" i="23"/>
  <c r="C32" i="23"/>
  <c r="C18" i="23"/>
  <c r="H23" i="23"/>
  <c r="C16" i="23"/>
  <c r="C20" i="23"/>
  <c r="E23" i="23"/>
  <c r="E19" i="24"/>
  <c r="D22" i="24"/>
  <c r="D25" i="24" s="1"/>
  <c r="G38" i="46" l="1"/>
  <c r="G39" i="46" s="1"/>
  <c r="E104" i="46"/>
  <c r="V101" i="46"/>
  <c r="V64" i="46"/>
  <c r="V90" i="46" s="1"/>
  <c r="Y58" i="46"/>
  <c r="Z8" i="46"/>
  <c r="Z48" i="46" s="1"/>
  <c r="U79" i="46"/>
  <c r="U54" i="46"/>
  <c r="U68" i="46" s="1"/>
  <c r="X57" i="46"/>
  <c r="Y21" i="46"/>
  <c r="X47" i="46"/>
  <c r="X9" i="46"/>
  <c r="X10" i="46" s="1"/>
  <c r="X11" i="46" s="1"/>
  <c r="X15" i="46" s="1"/>
  <c r="X16" i="46" s="1"/>
  <c r="X22" i="46"/>
  <c r="I72" i="46"/>
  <c r="Y48" i="46"/>
  <c r="F102" i="46"/>
  <c r="F103" i="46" s="1"/>
  <c r="F40" i="46"/>
  <c r="F80" i="46" s="1"/>
  <c r="F81" i="46" s="1"/>
  <c r="F41" i="46"/>
  <c r="F91" i="46" s="1"/>
  <c r="F92" i="46" s="1"/>
  <c r="T79" i="46"/>
  <c r="T54" i="46"/>
  <c r="T68" i="46" s="1"/>
  <c r="W46" i="46"/>
  <c r="W24" i="46"/>
  <c r="W26" i="46" s="1"/>
  <c r="W56" i="46" s="1"/>
  <c r="W61" i="46" s="1"/>
  <c r="E93" i="46"/>
  <c r="V51" i="46"/>
  <c r="V50" i="46"/>
  <c r="H72" i="46"/>
  <c r="H74" i="46" s="1"/>
  <c r="H76" i="46" s="1"/>
  <c r="E82" i="46"/>
  <c r="Z60" i="46"/>
  <c r="Z62" i="46" s="1"/>
  <c r="AA14" i="46"/>
  <c r="AA53" i="46"/>
  <c r="Z49" i="46"/>
  <c r="Z59" i="46" s="1"/>
  <c r="Z7" i="46"/>
  <c r="Y60" i="47"/>
  <c r="Y62" i="47" s="1"/>
  <c r="Z14" i="47"/>
  <c r="Z53" i="47"/>
  <c r="T71" i="47"/>
  <c r="I73" i="47"/>
  <c r="I74" i="47" s="1"/>
  <c r="I76" i="47" s="1"/>
  <c r="G103" i="47"/>
  <c r="F104" i="47"/>
  <c r="Z7" i="47"/>
  <c r="Z49" i="47" s="1"/>
  <c r="Z59" i="47" s="1"/>
  <c r="G81" i="47"/>
  <c r="F82" i="47"/>
  <c r="Y57" i="47"/>
  <c r="Y47" i="47"/>
  <c r="Z21" i="47"/>
  <c r="Y9" i="47"/>
  <c r="Y10" i="47" s="1"/>
  <c r="Y11" i="47" s="1"/>
  <c r="Y15" i="47" s="1"/>
  <c r="Y16" i="47" s="1"/>
  <c r="Y22" i="47"/>
  <c r="W101" i="47"/>
  <c r="W64" i="47"/>
  <c r="W90" i="47" s="1"/>
  <c r="AB20" i="47"/>
  <c r="Y49" i="47"/>
  <c r="Y59" i="47" s="1"/>
  <c r="W51" i="47"/>
  <c r="W50" i="47"/>
  <c r="W52" i="47" s="1"/>
  <c r="H38" i="47"/>
  <c r="H39" i="47" s="1"/>
  <c r="J73" i="47"/>
  <c r="U71" i="47"/>
  <c r="V52" i="47"/>
  <c r="AA8" i="47"/>
  <c r="Z58" i="47"/>
  <c r="X24" i="47"/>
  <c r="X26" i="47" s="1"/>
  <c r="X56" i="47" s="1"/>
  <c r="X61" i="47" s="1"/>
  <c r="X46" i="47"/>
  <c r="G92" i="47"/>
  <c r="F93" i="47"/>
  <c r="I72" i="48"/>
  <c r="T54" i="48"/>
  <c r="T68" i="48" s="1"/>
  <c r="T71" i="48" s="1"/>
  <c r="J72" i="48" s="1"/>
  <c r="U52" i="48"/>
  <c r="U79" i="48" s="1"/>
  <c r="X57" i="48"/>
  <c r="X47" i="48"/>
  <c r="Y21" i="48"/>
  <c r="X9" i="48"/>
  <c r="X10" i="48" s="1"/>
  <c r="X11" i="48" s="1"/>
  <c r="X15" i="48" s="1"/>
  <c r="X16" i="48" s="1"/>
  <c r="X22" i="48"/>
  <c r="G38" i="48"/>
  <c r="G39" i="48" s="1"/>
  <c r="V51" i="48"/>
  <c r="V50" i="48"/>
  <c r="V101" i="48"/>
  <c r="V64" i="48"/>
  <c r="V90" i="48" s="1"/>
  <c r="H72" i="48"/>
  <c r="H74" i="48" s="1"/>
  <c r="H76" i="48" s="1"/>
  <c r="E82" i="48"/>
  <c r="W24" i="48"/>
  <c r="W26" i="48" s="1"/>
  <c r="W56" i="48" s="1"/>
  <c r="W61" i="48" s="1"/>
  <c r="W46" i="48"/>
  <c r="Z60" i="48"/>
  <c r="Z62" i="48" s="1"/>
  <c r="AA53" i="48"/>
  <c r="AA14" i="48"/>
  <c r="AA23" i="48" s="1"/>
  <c r="AA63" i="48" s="1"/>
  <c r="E93" i="48"/>
  <c r="Y58" i="48"/>
  <c r="Z8" i="48"/>
  <c r="Z48" i="48" s="1"/>
  <c r="AB7" i="48"/>
  <c r="AA20" i="48"/>
  <c r="F102" i="48"/>
  <c r="F103" i="48" s="1"/>
  <c r="F40" i="48"/>
  <c r="F80" i="48" s="1"/>
  <c r="F81" i="48" s="1"/>
  <c r="F41" i="48"/>
  <c r="F91" i="48" s="1"/>
  <c r="F92" i="48" s="1"/>
  <c r="E104" i="48"/>
  <c r="F15" i="24"/>
  <c r="E35" i="24"/>
  <c r="D27" i="24"/>
  <c r="C27" i="24"/>
  <c r="C37" i="24" s="1"/>
  <c r="C35" i="23"/>
  <c r="G14" i="28"/>
  <c r="G15" i="28" s="1"/>
  <c r="H13" i="28"/>
  <c r="C27" i="18"/>
  <c r="D27" i="18"/>
  <c r="D29" i="18" s="1"/>
  <c r="D26" i="18"/>
  <c r="C40" i="18"/>
  <c r="D54" i="22"/>
  <c r="D68" i="22" s="1"/>
  <c r="D71" i="22" s="1"/>
  <c r="F59" i="22"/>
  <c r="F50" i="22"/>
  <c r="F52" i="22" s="1"/>
  <c r="E63" i="22"/>
  <c r="E24" i="22"/>
  <c r="G10" i="22"/>
  <c r="H9" i="22"/>
  <c r="H22" i="22"/>
  <c r="I20" i="22"/>
  <c r="G46" i="22"/>
  <c r="P57" i="22"/>
  <c r="P47" i="22"/>
  <c r="Q21" i="22"/>
  <c r="O58" i="22"/>
  <c r="P8" i="22"/>
  <c r="G70" i="22"/>
  <c r="F53" i="22"/>
  <c r="E16" i="22"/>
  <c r="E60" i="22"/>
  <c r="E62" i="22" s="1"/>
  <c r="E86" i="22"/>
  <c r="E75" i="22"/>
  <c r="E97" i="22"/>
  <c r="S37" i="22"/>
  <c r="R69" i="22"/>
  <c r="G49" i="22"/>
  <c r="G59" i="22" s="1"/>
  <c r="F11" i="22"/>
  <c r="F14" i="22" s="1"/>
  <c r="G7" i="22"/>
  <c r="D63" i="22"/>
  <c r="D24" i="22"/>
  <c r="E59" i="22"/>
  <c r="E50" i="22"/>
  <c r="E52" i="22" s="1"/>
  <c r="C42" i="18"/>
  <c r="F42" i="18" s="1"/>
  <c r="E27" i="18"/>
  <c r="E29" i="18" s="1"/>
  <c r="F29" i="18" s="1"/>
  <c r="E39" i="18"/>
  <c r="E40" i="18" s="1"/>
  <c r="E42" i="18" s="1"/>
  <c r="E26" i="18"/>
  <c r="C46" i="23"/>
  <c r="C59" i="23" s="1"/>
  <c r="C44" i="23"/>
  <c r="C57" i="23" s="1"/>
  <c r="C43" i="23"/>
  <c r="C56" i="23" s="1"/>
  <c r="C42" i="23"/>
  <c r="C55" i="23" s="1"/>
  <c r="C41" i="23"/>
  <c r="C54" i="23" s="1"/>
  <c r="C40" i="23"/>
  <c r="C53" i="23" s="1"/>
  <c r="C45" i="23"/>
  <c r="C58" i="23" s="1"/>
  <c r="I45" i="23"/>
  <c r="I58" i="23" s="1"/>
  <c r="N62" i="23"/>
  <c r="M49" i="23"/>
  <c r="M47" i="23" s="1"/>
  <c r="I46" i="23"/>
  <c r="I59" i="23" s="1"/>
  <c r="I44" i="23"/>
  <c r="F43" i="23"/>
  <c r="F56" i="23" s="1"/>
  <c r="F42" i="23"/>
  <c r="F55" i="23" s="1"/>
  <c r="F41" i="23"/>
  <c r="F54" i="23" s="1"/>
  <c r="F40" i="23"/>
  <c r="F53" i="23" s="1"/>
  <c r="G43" i="23"/>
  <c r="G56" i="23" s="1"/>
  <c r="G42" i="23"/>
  <c r="G55" i="23" s="1"/>
  <c r="G41" i="23"/>
  <c r="G54" i="23" s="1"/>
  <c r="G40" i="23"/>
  <c r="G53" i="23" s="1"/>
  <c r="H43" i="23"/>
  <c r="H56" i="23" s="1"/>
  <c r="H42" i="23"/>
  <c r="H55" i="23" s="1"/>
  <c r="H41" i="23"/>
  <c r="H54" i="23" s="1"/>
  <c r="H40" i="23"/>
  <c r="H53" i="23" s="1"/>
  <c r="C23" i="23"/>
  <c r="N66" i="23" s="1"/>
  <c r="M23" i="23"/>
  <c r="F19" i="24"/>
  <c r="E22" i="24"/>
  <c r="E25" i="24" s="1"/>
  <c r="K72" i="47" l="1"/>
  <c r="U54" i="48"/>
  <c r="U68" i="48" s="1"/>
  <c r="F93" i="46"/>
  <c r="F104" i="46"/>
  <c r="W101" i="46"/>
  <c r="W64" i="46"/>
  <c r="W90" i="46" s="1"/>
  <c r="H38" i="46"/>
  <c r="H39" i="46" s="1"/>
  <c r="W51" i="46"/>
  <c r="W50" i="46"/>
  <c r="X24" i="46"/>
  <c r="X26" i="46" s="1"/>
  <c r="X56" i="46" s="1"/>
  <c r="X61" i="46" s="1"/>
  <c r="X46" i="46"/>
  <c r="G102" i="46"/>
  <c r="G103" i="46" s="1"/>
  <c r="G41" i="46"/>
  <c r="G91" i="46" s="1"/>
  <c r="G92" i="46" s="1"/>
  <c r="G40" i="46"/>
  <c r="G80" i="46" s="1"/>
  <c r="G81" i="46" s="1"/>
  <c r="AA60" i="46"/>
  <c r="AA62" i="46" s="1"/>
  <c r="AB14" i="46"/>
  <c r="AB23" i="46" s="1"/>
  <c r="AB63" i="46" s="1"/>
  <c r="AB53" i="46"/>
  <c r="AA23" i="46"/>
  <c r="AA63" i="46" s="1"/>
  <c r="T71" i="46"/>
  <c r="I73" i="46"/>
  <c r="I74" i="46" s="1"/>
  <c r="I76" i="46" s="1"/>
  <c r="J73" i="46"/>
  <c r="U71" i="46"/>
  <c r="Z58" i="46"/>
  <c r="AA8" i="46"/>
  <c r="AA48" i="46" s="1"/>
  <c r="F82" i="46"/>
  <c r="Y57" i="46"/>
  <c r="Z21" i="46"/>
  <c r="Y47" i="46"/>
  <c r="Y9" i="46"/>
  <c r="Y10" i="46" s="1"/>
  <c r="Y11" i="46" s="1"/>
  <c r="Y15" i="46" s="1"/>
  <c r="Y16" i="46" s="1"/>
  <c r="Y22" i="46"/>
  <c r="AA7" i="46"/>
  <c r="V52" i="46"/>
  <c r="AA58" i="47"/>
  <c r="AB8" i="47"/>
  <c r="AB48" i="47" s="1"/>
  <c r="X51" i="47"/>
  <c r="X50" i="47"/>
  <c r="X52" i="47" s="1"/>
  <c r="W79" i="47"/>
  <c r="W54" i="47"/>
  <c r="W68" i="47" s="1"/>
  <c r="I38" i="47"/>
  <c r="I39" i="47" s="1"/>
  <c r="X64" i="47"/>
  <c r="X90" i="47" s="1"/>
  <c r="X101" i="47"/>
  <c r="AA48" i="47"/>
  <c r="H102" i="47"/>
  <c r="H103" i="47" s="1"/>
  <c r="H41" i="47"/>
  <c r="H91" i="47" s="1"/>
  <c r="H40" i="47"/>
  <c r="H80" i="47" s="1"/>
  <c r="H81" i="47" s="1"/>
  <c r="J72" i="47"/>
  <c r="J74" i="47" s="1"/>
  <c r="J76" i="47" s="1"/>
  <c r="Y46" i="47"/>
  <c r="Y24" i="47"/>
  <c r="Y26" i="47" s="1"/>
  <c r="Y56" i="47" s="1"/>
  <c r="Y61" i="47" s="1"/>
  <c r="G104" i="47"/>
  <c r="Z60" i="47"/>
  <c r="Z62" i="47" s="1"/>
  <c r="AA53" i="47"/>
  <c r="AA14" i="47"/>
  <c r="H92" i="47"/>
  <c r="G93" i="47"/>
  <c r="V79" i="47"/>
  <c r="V54" i="47"/>
  <c r="V68" i="47" s="1"/>
  <c r="AA21" i="47"/>
  <c r="Z57" i="47"/>
  <c r="Z9" i="47"/>
  <c r="Z10" i="47" s="1"/>
  <c r="Z11" i="47" s="1"/>
  <c r="Z15" i="47" s="1"/>
  <c r="Z16" i="47" s="1"/>
  <c r="Z47" i="47"/>
  <c r="Z22" i="47"/>
  <c r="G82" i="47"/>
  <c r="AA7" i="47"/>
  <c r="AA49" i="47" s="1"/>
  <c r="AA59" i="47" s="1"/>
  <c r="Z23" i="47"/>
  <c r="Z63" i="47" s="1"/>
  <c r="I73" i="48"/>
  <c r="I74" i="48" s="1"/>
  <c r="I76" i="48" s="1"/>
  <c r="I38" i="48" s="1"/>
  <c r="I39" i="48" s="1"/>
  <c r="I102" i="48" s="1"/>
  <c r="V52" i="48"/>
  <c r="V79" i="48" s="1"/>
  <c r="F82" i="48"/>
  <c r="W101" i="48"/>
  <c r="W64" i="48"/>
  <c r="W90" i="48" s="1"/>
  <c r="F104" i="48"/>
  <c r="F93" i="48"/>
  <c r="H38" i="48"/>
  <c r="H39" i="48" s="1"/>
  <c r="V54" i="48"/>
  <c r="V68" i="48" s="1"/>
  <c r="Y57" i="48"/>
  <c r="Y47" i="48"/>
  <c r="Z21" i="48"/>
  <c r="Y9" i="48"/>
  <c r="Y10" i="48" s="1"/>
  <c r="Y11" i="48" s="1"/>
  <c r="Y15" i="48" s="1"/>
  <c r="Y16" i="48" s="1"/>
  <c r="Y22" i="48"/>
  <c r="Z58" i="48"/>
  <c r="AA8" i="48"/>
  <c r="AA48" i="48" s="1"/>
  <c r="AB20" i="48"/>
  <c r="AB49" i="48"/>
  <c r="AB59" i="48" s="1"/>
  <c r="X24" i="48"/>
  <c r="X26" i="48" s="1"/>
  <c r="X56" i="48" s="1"/>
  <c r="X61" i="48" s="1"/>
  <c r="X46" i="48"/>
  <c r="AB53" i="48"/>
  <c r="AA60" i="48"/>
  <c r="AA62" i="48" s="1"/>
  <c r="AB14" i="48"/>
  <c r="W51" i="48"/>
  <c r="W50" i="48"/>
  <c r="U71" i="48"/>
  <c r="K72" i="48" s="1"/>
  <c r="J73" i="48"/>
  <c r="J74" i="48" s="1"/>
  <c r="J76" i="48" s="1"/>
  <c r="G102" i="48"/>
  <c r="G103" i="48" s="1"/>
  <c r="G40" i="48"/>
  <c r="G80" i="48" s="1"/>
  <c r="G81" i="48" s="1"/>
  <c r="G41" i="48"/>
  <c r="G91" i="48" s="1"/>
  <c r="G92" i="48" s="1"/>
  <c r="G15" i="24"/>
  <c r="F35" i="24"/>
  <c r="D37" i="24"/>
  <c r="E37" i="24" s="1"/>
  <c r="S46" i="23"/>
  <c r="S59" i="23" s="1"/>
  <c r="R40" i="23"/>
  <c r="R42" i="23"/>
  <c r="R55" i="23" s="1"/>
  <c r="P42" i="23"/>
  <c r="P55" i="23" s="1"/>
  <c r="R41" i="23"/>
  <c r="R54" i="23" s="1"/>
  <c r="R43" i="23"/>
  <c r="R56" i="23" s="1"/>
  <c r="Q40" i="23"/>
  <c r="P41" i="23"/>
  <c r="P54" i="23" s="1"/>
  <c r="S45" i="23"/>
  <c r="S58" i="23" s="1"/>
  <c r="Q41" i="23"/>
  <c r="Q54" i="23" s="1"/>
  <c r="Q43" i="23"/>
  <c r="Q56" i="23" s="1"/>
  <c r="P43" i="23"/>
  <c r="P56" i="23" s="1"/>
  <c r="S44" i="23"/>
  <c r="P40" i="23"/>
  <c r="Q42" i="23"/>
  <c r="Q55" i="23" s="1"/>
  <c r="H15" i="28"/>
  <c r="G16" i="28"/>
  <c r="G17" i="28" s="1"/>
  <c r="F97" i="22"/>
  <c r="F60" i="22"/>
  <c r="F62" i="22" s="1"/>
  <c r="G53" i="22"/>
  <c r="F16" i="22"/>
  <c r="F86" i="22"/>
  <c r="F75" i="22"/>
  <c r="P58" i="22"/>
  <c r="Q48" i="22"/>
  <c r="Q8" i="22"/>
  <c r="D25" i="22"/>
  <c r="D26" i="22" s="1"/>
  <c r="D56" i="22" s="1"/>
  <c r="D61" i="22" s="1"/>
  <c r="H70" i="22"/>
  <c r="Q57" i="22"/>
  <c r="Q47" i="22"/>
  <c r="R21" i="22"/>
  <c r="H10" i="22"/>
  <c r="I9" i="22"/>
  <c r="G51" i="22"/>
  <c r="G50" i="22"/>
  <c r="E79" i="22"/>
  <c r="E54" i="22"/>
  <c r="E68" i="22" s="1"/>
  <c r="E71" i="22" s="1"/>
  <c r="T37" i="22"/>
  <c r="S69" i="22"/>
  <c r="H46" i="22"/>
  <c r="F54" i="22"/>
  <c r="F68" i="22" s="1"/>
  <c r="F71" i="22" s="1"/>
  <c r="F79" i="22"/>
  <c r="G11" i="22"/>
  <c r="G14" i="22" s="1"/>
  <c r="H7" i="22"/>
  <c r="H49" i="22" s="1"/>
  <c r="H59" i="22" s="1"/>
  <c r="E26" i="22"/>
  <c r="E56" i="22" s="1"/>
  <c r="E61" i="22" s="1"/>
  <c r="E25" i="22"/>
  <c r="I22" i="22"/>
  <c r="J20" i="22"/>
  <c r="F23" i="22"/>
  <c r="P48" i="22"/>
  <c r="F44" i="18"/>
  <c r="F27" i="18"/>
  <c r="F40" i="18"/>
  <c r="F47" i="23"/>
  <c r="F60" i="23"/>
  <c r="M42" i="23"/>
  <c r="M55" i="23" s="1"/>
  <c r="M41" i="23"/>
  <c r="M54" i="23" s="1"/>
  <c r="M40" i="23"/>
  <c r="M53" i="23" s="1"/>
  <c r="M45" i="23"/>
  <c r="M58" i="23" s="1"/>
  <c r="M46" i="23"/>
  <c r="M59" i="23" s="1"/>
  <c r="M44" i="23"/>
  <c r="M57" i="23" s="1"/>
  <c r="M43" i="23"/>
  <c r="M56" i="23" s="1"/>
  <c r="Q53" i="23"/>
  <c r="Q60" i="23" s="1"/>
  <c r="Q47" i="23"/>
  <c r="S47" i="23"/>
  <c r="S57" i="23"/>
  <c r="S60" i="23" s="1"/>
  <c r="H47" i="23"/>
  <c r="H60" i="23"/>
  <c r="I47" i="23"/>
  <c r="I57" i="23"/>
  <c r="I60" i="23" s="1"/>
  <c r="R53" i="23"/>
  <c r="R60" i="23" s="1"/>
  <c r="R47" i="23"/>
  <c r="P53" i="23"/>
  <c r="G47" i="23"/>
  <c r="G60" i="23"/>
  <c r="C60" i="23"/>
  <c r="G19" i="24"/>
  <c r="F22" i="24"/>
  <c r="F25" i="24" s="1"/>
  <c r="E27" i="24"/>
  <c r="G82" i="46" l="1"/>
  <c r="I38" i="46"/>
  <c r="I39" i="46" s="1"/>
  <c r="G93" i="46"/>
  <c r="G104" i="46"/>
  <c r="X51" i="46"/>
  <c r="X50" i="46"/>
  <c r="X52" i="46" s="1"/>
  <c r="J72" i="46"/>
  <c r="J74" i="46" s="1"/>
  <c r="J76" i="46" s="1"/>
  <c r="X101" i="46"/>
  <c r="X64" i="46"/>
  <c r="X90" i="46" s="1"/>
  <c r="AB7" i="46"/>
  <c r="AB49" i="46" s="1"/>
  <c r="AB59" i="46" s="1"/>
  <c r="V54" i="46"/>
  <c r="V68" i="46" s="1"/>
  <c r="V79" i="46"/>
  <c r="AA49" i="46"/>
  <c r="AA59" i="46" s="1"/>
  <c r="Z57" i="46"/>
  <c r="Z47" i="46"/>
  <c r="AA21" i="46"/>
  <c r="Z9" i="46"/>
  <c r="Z10" i="46" s="1"/>
  <c r="Z11" i="46" s="1"/>
  <c r="Z15" i="46" s="1"/>
  <c r="Z16" i="46" s="1"/>
  <c r="Z22" i="46"/>
  <c r="AA58" i="46"/>
  <c r="AB8" i="46"/>
  <c r="AB48" i="46" s="1"/>
  <c r="K72" i="46"/>
  <c r="W52" i="46"/>
  <c r="H102" i="46"/>
  <c r="H103" i="46" s="1"/>
  <c r="H40" i="46"/>
  <c r="H80" i="46" s="1"/>
  <c r="H81" i="46" s="1"/>
  <c r="H41" i="46"/>
  <c r="H91" i="46" s="1"/>
  <c r="H92" i="46" s="1"/>
  <c r="Y24" i="46"/>
  <c r="Y26" i="46" s="1"/>
  <c r="Y56" i="46" s="1"/>
  <c r="Y61" i="46" s="1"/>
  <c r="Y46" i="46"/>
  <c r="AB60" i="46"/>
  <c r="AB62" i="46" s="1"/>
  <c r="H104" i="47"/>
  <c r="H82" i="47"/>
  <c r="Y101" i="47"/>
  <c r="Y64" i="47"/>
  <c r="Y90" i="47" s="1"/>
  <c r="I102" i="47"/>
  <c r="I103" i="47" s="1"/>
  <c r="I41" i="47"/>
  <c r="I91" i="47" s="1"/>
  <c r="I92" i="47" s="1"/>
  <c r="I40" i="47"/>
  <c r="I80" i="47" s="1"/>
  <c r="I81" i="47" s="1"/>
  <c r="AB21" i="47"/>
  <c r="AA57" i="47"/>
  <c r="AA47" i="47"/>
  <c r="AA9" i="47"/>
  <c r="AA10" i="47" s="1"/>
  <c r="AA22" i="47"/>
  <c r="L73" i="47"/>
  <c r="W71" i="47"/>
  <c r="M72" i="47" s="1"/>
  <c r="Z24" i="47"/>
  <c r="Z26" i="47" s="1"/>
  <c r="Z56" i="47" s="1"/>
  <c r="Z61" i="47" s="1"/>
  <c r="Z46" i="47"/>
  <c r="AB53" i="47"/>
  <c r="AA60" i="47"/>
  <c r="AA62" i="47" s="1"/>
  <c r="AB14" i="47"/>
  <c r="Y51" i="47"/>
  <c r="Y50" i="47"/>
  <c r="AB7" i="47"/>
  <c r="AA11" i="47"/>
  <c r="AA15" i="47" s="1"/>
  <c r="AA16" i="47" s="1"/>
  <c r="H93" i="47"/>
  <c r="X79" i="47"/>
  <c r="X54" i="47"/>
  <c r="X68" i="47" s="1"/>
  <c r="K73" i="47"/>
  <c r="K74" i="47" s="1"/>
  <c r="K76" i="47" s="1"/>
  <c r="V71" i="47"/>
  <c r="AA23" i="47"/>
  <c r="AA63" i="47" s="1"/>
  <c r="J38" i="47"/>
  <c r="J39" i="47" s="1"/>
  <c r="AB58" i="47"/>
  <c r="W52" i="48"/>
  <c r="W54" i="48" s="1"/>
  <c r="W68" i="48" s="1"/>
  <c r="I41" i="48"/>
  <c r="I91" i="48" s="1"/>
  <c r="G82" i="48"/>
  <c r="G104" i="48"/>
  <c r="G93" i="48"/>
  <c r="J38" i="48"/>
  <c r="J39" i="48" s="1"/>
  <c r="X64" i="48"/>
  <c r="X90" i="48" s="1"/>
  <c r="X101" i="48"/>
  <c r="AA21" i="48"/>
  <c r="Z47" i="48"/>
  <c r="Z9" i="48"/>
  <c r="Z10" i="48" s="1"/>
  <c r="Z11" i="48" s="1"/>
  <c r="Z15" i="48" s="1"/>
  <c r="Z16" i="48" s="1"/>
  <c r="Z57" i="48"/>
  <c r="Z22" i="48"/>
  <c r="K73" i="48"/>
  <c r="K74" i="48" s="1"/>
  <c r="K76" i="48" s="1"/>
  <c r="V71" i="48"/>
  <c r="L72" i="48" s="1"/>
  <c r="I40" i="48"/>
  <c r="I80" i="48" s="1"/>
  <c r="AB60" i="48"/>
  <c r="AB62" i="48" s="1"/>
  <c r="AB23" i="48"/>
  <c r="AB63" i="48" s="1"/>
  <c r="W79" i="48"/>
  <c r="X51" i="48"/>
  <c r="X50" i="48"/>
  <c r="AA58" i="48"/>
  <c r="AB8" i="48"/>
  <c r="Y46" i="48"/>
  <c r="Y24" i="48"/>
  <c r="Y26" i="48" s="1"/>
  <c r="Y56" i="48" s="1"/>
  <c r="Y61" i="48" s="1"/>
  <c r="H102" i="48"/>
  <c r="H103" i="48" s="1"/>
  <c r="H41" i="48"/>
  <c r="H91" i="48" s="1"/>
  <c r="H92" i="48" s="1"/>
  <c r="H40" i="48"/>
  <c r="H80" i="48" s="1"/>
  <c r="H81" i="48" s="1"/>
  <c r="H15" i="24"/>
  <c r="G35" i="24"/>
  <c r="F27" i="24"/>
  <c r="F37" i="24"/>
  <c r="P47" i="23"/>
  <c r="P60" i="23"/>
  <c r="G18" i="28"/>
  <c r="G19" i="28" s="1"/>
  <c r="H17" i="28"/>
  <c r="G52" i="22"/>
  <c r="G79" i="22" s="1"/>
  <c r="G97" i="22"/>
  <c r="G60" i="22"/>
  <c r="G62" i="22" s="1"/>
  <c r="H53" i="22"/>
  <c r="G16" i="22"/>
  <c r="G86" i="22"/>
  <c r="G75" i="22"/>
  <c r="H11" i="22"/>
  <c r="H14" i="22" s="1"/>
  <c r="I7" i="22"/>
  <c r="I49" i="22" s="1"/>
  <c r="I59" i="22" s="1"/>
  <c r="U37" i="22"/>
  <c r="T69" i="22"/>
  <c r="E101" i="22"/>
  <c r="E64" i="22"/>
  <c r="E90" i="22" s="1"/>
  <c r="R47" i="22"/>
  <c r="R57" i="22"/>
  <c r="S21" i="22"/>
  <c r="R8" i="22"/>
  <c r="R48" i="22" s="1"/>
  <c r="Q58" i="22"/>
  <c r="H51" i="22"/>
  <c r="H50" i="22"/>
  <c r="G23" i="22"/>
  <c r="I46" i="22"/>
  <c r="I10" i="22"/>
  <c r="J9" i="22"/>
  <c r="D101" i="22"/>
  <c r="D64" i="22"/>
  <c r="D90" i="22" s="1"/>
  <c r="J22" i="22"/>
  <c r="K20" i="22"/>
  <c r="I70" i="22"/>
  <c r="F63" i="22"/>
  <c r="F24" i="22"/>
  <c r="G54" i="22"/>
  <c r="G68" i="22" s="1"/>
  <c r="G71" i="22" s="1"/>
  <c r="M60" i="23"/>
  <c r="N61" i="23" s="1"/>
  <c r="N67" i="23" s="1"/>
  <c r="G22" i="24"/>
  <c r="G25" i="24" s="1"/>
  <c r="H19" i="24"/>
  <c r="H82" i="46" l="1"/>
  <c r="H104" i="46"/>
  <c r="H93" i="46"/>
  <c r="W79" i="46"/>
  <c r="W54" i="46"/>
  <c r="W68" i="46" s="1"/>
  <c r="AA57" i="46"/>
  <c r="AA47" i="46"/>
  <c r="AB21" i="46"/>
  <c r="AA9" i="46"/>
  <c r="AA10" i="46" s="1"/>
  <c r="AA11" i="46" s="1"/>
  <c r="AA15" i="46" s="1"/>
  <c r="AA16" i="46" s="1"/>
  <c r="AA22" i="46"/>
  <c r="Y51" i="46"/>
  <c r="Y50" i="46"/>
  <c r="K73" i="46"/>
  <c r="K74" i="46" s="1"/>
  <c r="K76" i="46" s="1"/>
  <c r="V71" i="46"/>
  <c r="Y101" i="46"/>
  <c r="Y64" i="46"/>
  <c r="Y90" i="46" s="1"/>
  <c r="Z24" i="46"/>
  <c r="Z26" i="46" s="1"/>
  <c r="Z56" i="46" s="1"/>
  <c r="Z61" i="46" s="1"/>
  <c r="Z46" i="46"/>
  <c r="J38" i="46"/>
  <c r="J39" i="46" s="1"/>
  <c r="X79" i="46"/>
  <c r="X54" i="46"/>
  <c r="X68" i="46" s="1"/>
  <c r="I102" i="46"/>
  <c r="I103" i="46" s="1"/>
  <c r="I41" i="46"/>
  <c r="I91" i="46" s="1"/>
  <c r="I92" i="46" s="1"/>
  <c r="I40" i="46"/>
  <c r="I80" i="46" s="1"/>
  <c r="I81" i="46" s="1"/>
  <c r="AB58" i="46"/>
  <c r="I82" i="47"/>
  <c r="I93" i="47"/>
  <c r="I104" i="47"/>
  <c r="M73" i="47"/>
  <c r="M74" i="47" s="1"/>
  <c r="M76" i="47" s="1"/>
  <c r="X71" i="47"/>
  <c r="N72" i="47" s="1"/>
  <c r="Y52" i="47"/>
  <c r="Z51" i="47"/>
  <c r="Z50" i="47"/>
  <c r="AB60" i="47"/>
  <c r="AB62" i="47" s="1"/>
  <c r="AB23" i="47"/>
  <c r="AB63" i="47" s="1"/>
  <c r="Z101" i="47"/>
  <c r="Z64" i="47"/>
  <c r="Z90" i="47" s="1"/>
  <c r="AA24" i="47"/>
  <c r="AA26" i="47" s="1"/>
  <c r="AA56" i="47" s="1"/>
  <c r="AA61" i="47" s="1"/>
  <c r="AA46" i="47"/>
  <c r="AB57" i="47"/>
  <c r="AB47" i="47"/>
  <c r="AB9" i="47"/>
  <c r="AB10" i="47" s="1"/>
  <c r="AB11" i="47" s="1"/>
  <c r="AB15" i="47" s="1"/>
  <c r="AB16" i="47" s="1"/>
  <c r="AB22" i="47"/>
  <c r="K38" i="47"/>
  <c r="K39" i="47" s="1"/>
  <c r="J102" i="47"/>
  <c r="J103" i="47" s="1"/>
  <c r="J40" i="47"/>
  <c r="J80" i="47" s="1"/>
  <c r="J81" i="47" s="1"/>
  <c r="J41" i="47"/>
  <c r="J91" i="47" s="1"/>
  <c r="J92" i="47" s="1"/>
  <c r="L72" i="47"/>
  <c r="L74" i="47" s="1"/>
  <c r="L76" i="47" s="1"/>
  <c r="AB49" i="47"/>
  <c r="AB59" i="47" s="1"/>
  <c r="X52" i="48"/>
  <c r="X54" i="48" s="1"/>
  <c r="X68" i="48" s="1"/>
  <c r="K38" i="48"/>
  <c r="K39" i="48" s="1"/>
  <c r="I81" i="48"/>
  <c r="H82" i="48"/>
  <c r="I92" i="48"/>
  <c r="H93" i="48"/>
  <c r="I103" i="48"/>
  <c r="H104" i="48"/>
  <c r="X79" i="48"/>
  <c r="J102" i="48"/>
  <c r="J41" i="48"/>
  <c r="J91" i="48" s="1"/>
  <c r="J40" i="48"/>
  <c r="J80" i="48" s="1"/>
  <c r="Z24" i="48"/>
  <c r="Z26" i="48" s="1"/>
  <c r="Z56" i="48" s="1"/>
  <c r="Z61" i="48" s="1"/>
  <c r="Z46" i="48"/>
  <c r="AB21" i="48"/>
  <c r="AA57" i="48"/>
  <c r="AA47" i="48"/>
  <c r="AA9" i="48"/>
  <c r="AA10" i="48" s="1"/>
  <c r="AA11" i="48" s="1"/>
  <c r="AA15" i="48" s="1"/>
  <c r="AA16" i="48" s="1"/>
  <c r="AA22" i="48"/>
  <c r="AB58" i="48"/>
  <c r="Y101" i="48"/>
  <c r="Y64" i="48"/>
  <c r="Y90" i="48" s="1"/>
  <c r="L73" i="48"/>
  <c r="L74" i="48" s="1"/>
  <c r="L76" i="48" s="1"/>
  <c r="W71" i="48"/>
  <c r="Y51" i="48"/>
  <c r="Y50" i="48"/>
  <c r="AB48" i="48"/>
  <c r="I15" i="24"/>
  <c r="H35" i="24"/>
  <c r="G20" i="28"/>
  <c r="G22" i="28" s="1"/>
  <c r="H19" i="28"/>
  <c r="H86" i="22"/>
  <c r="H75" i="22"/>
  <c r="H97" i="22"/>
  <c r="H60" i="22"/>
  <c r="H62" i="22" s="1"/>
  <c r="I53" i="22"/>
  <c r="H16" i="22"/>
  <c r="J46" i="22"/>
  <c r="L20" i="22"/>
  <c r="K22" i="22"/>
  <c r="G63" i="22"/>
  <c r="G24" i="22"/>
  <c r="S47" i="22"/>
  <c r="S57" i="22"/>
  <c r="T21" i="22"/>
  <c r="I11" i="22"/>
  <c r="I14" i="22" s="1"/>
  <c r="I23" i="22" s="1"/>
  <c r="J7" i="22"/>
  <c r="J49" i="22" s="1"/>
  <c r="J59" i="22" s="1"/>
  <c r="H52" i="22"/>
  <c r="H23" i="22"/>
  <c r="K9" i="22"/>
  <c r="J10" i="22"/>
  <c r="F26" i="22"/>
  <c r="F56" i="22" s="1"/>
  <c r="F61" i="22" s="1"/>
  <c r="F25" i="22"/>
  <c r="J70" i="22"/>
  <c r="U69" i="22"/>
  <c r="V37" i="22"/>
  <c r="I51" i="22"/>
  <c r="I50" i="22"/>
  <c r="R58" i="22"/>
  <c r="S8" i="22"/>
  <c r="H22" i="24"/>
  <c r="H25" i="24" s="1"/>
  <c r="I19" i="24"/>
  <c r="G27" i="24"/>
  <c r="G37" i="24" s="1"/>
  <c r="I82" i="46" l="1"/>
  <c r="I93" i="46"/>
  <c r="I104" i="46"/>
  <c r="K38" i="46"/>
  <c r="K39" i="46" s="1"/>
  <c r="Y52" i="46"/>
  <c r="AA46" i="46"/>
  <c r="AA24" i="46"/>
  <c r="AA26" i="46" s="1"/>
  <c r="AA56" i="46" s="1"/>
  <c r="AA61" i="46" s="1"/>
  <c r="X71" i="46"/>
  <c r="M73" i="46"/>
  <c r="L72" i="46"/>
  <c r="L73" i="46"/>
  <c r="W71" i="46"/>
  <c r="M72" i="46" s="1"/>
  <c r="Z51" i="46"/>
  <c r="Z50" i="46"/>
  <c r="Z52" i="46" s="1"/>
  <c r="AB47" i="46"/>
  <c r="AB9" i="46"/>
  <c r="AB10" i="46" s="1"/>
  <c r="AB11" i="46" s="1"/>
  <c r="AB15" i="46" s="1"/>
  <c r="AB16" i="46" s="1"/>
  <c r="AB57" i="46"/>
  <c r="AB22" i="46"/>
  <c r="J102" i="46"/>
  <c r="J103" i="46" s="1"/>
  <c r="J41" i="46"/>
  <c r="J91" i="46" s="1"/>
  <c r="J92" i="46" s="1"/>
  <c r="J40" i="46"/>
  <c r="J80" i="46" s="1"/>
  <c r="J81" i="46" s="1"/>
  <c r="Z101" i="46"/>
  <c r="Z64" i="46"/>
  <c r="Z90" i="46" s="1"/>
  <c r="J93" i="47"/>
  <c r="J82" i="47"/>
  <c r="J104" i="47"/>
  <c r="AB24" i="47"/>
  <c r="AB26" i="47" s="1"/>
  <c r="AB56" i="47" s="1"/>
  <c r="AB61" i="47" s="1"/>
  <c r="AB46" i="47"/>
  <c r="AA51" i="47"/>
  <c r="AA50" i="47"/>
  <c r="AA52" i="47" s="1"/>
  <c r="Y79" i="47"/>
  <c r="Y54" i="47"/>
  <c r="Y68" i="47" s="1"/>
  <c r="AA101" i="47"/>
  <c r="AA64" i="47"/>
  <c r="AA90" i="47" s="1"/>
  <c r="M38" i="47"/>
  <c r="M39" i="47" s="1"/>
  <c r="M102" i="47" s="1"/>
  <c r="K102" i="47"/>
  <c r="K103" i="47" s="1"/>
  <c r="K41" i="47"/>
  <c r="K91" i="47" s="1"/>
  <c r="K92" i="47" s="1"/>
  <c r="K40" i="47"/>
  <c r="K80" i="47" s="1"/>
  <c r="K81" i="47" s="1"/>
  <c r="L38" i="47"/>
  <c r="L39" i="47" s="1"/>
  <c r="Z52" i="47"/>
  <c r="Y52" i="48"/>
  <c r="Y54" i="48" s="1"/>
  <c r="Y68" i="48" s="1"/>
  <c r="J92" i="48"/>
  <c r="I93" i="48"/>
  <c r="K102" i="48"/>
  <c r="K41" i="48"/>
  <c r="K91" i="48" s="1"/>
  <c r="K40" i="48"/>
  <c r="K80" i="48" s="1"/>
  <c r="L38" i="48"/>
  <c r="L39" i="48" s="1"/>
  <c r="M72" i="48"/>
  <c r="AA24" i="48"/>
  <c r="AA26" i="48" s="1"/>
  <c r="AA56" i="48" s="1"/>
  <c r="AA61" i="48" s="1"/>
  <c r="AA46" i="48"/>
  <c r="AB57" i="48"/>
  <c r="AB47" i="48"/>
  <c r="AB9" i="48"/>
  <c r="AB10" i="48" s="1"/>
  <c r="AB11" i="48" s="1"/>
  <c r="AB15" i="48" s="1"/>
  <c r="AB16" i="48" s="1"/>
  <c r="AB22" i="48"/>
  <c r="M73" i="48"/>
  <c r="X71" i="48"/>
  <c r="N72" i="48" s="1"/>
  <c r="J103" i="48"/>
  <c r="I104" i="48"/>
  <c r="Z101" i="48"/>
  <c r="Z64" i="48"/>
  <c r="Z90" i="48" s="1"/>
  <c r="Y79" i="48"/>
  <c r="Z51" i="48"/>
  <c r="Z50" i="48"/>
  <c r="J81" i="48"/>
  <c r="I82" i="48"/>
  <c r="J15" i="24"/>
  <c r="I35" i="24"/>
  <c r="H27" i="24"/>
  <c r="H37" i="24"/>
  <c r="H22" i="28"/>
  <c r="G23" i="28"/>
  <c r="G24" i="28" s="1"/>
  <c r="I52" i="22"/>
  <c r="I54" i="22" s="1"/>
  <c r="I68" i="22" s="1"/>
  <c r="I71" i="22" s="1"/>
  <c r="G26" i="22"/>
  <c r="G56" i="22" s="1"/>
  <c r="G61" i="22" s="1"/>
  <c r="G25" i="22"/>
  <c r="F64" i="22"/>
  <c r="F90" i="22" s="1"/>
  <c r="F101" i="22"/>
  <c r="S58" i="22"/>
  <c r="T8" i="22"/>
  <c r="K70" i="22"/>
  <c r="U21" i="22"/>
  <c r="T47" i="22"/>
  <c r="T57" i="22"/>
  <c r="J51" i="22"/>
  <c r="J50" i="22"/>
  <c r="H54" i="22"/>
  <c r="H68" i="22" s="1"/>
  <c r="H71" i="22" s="1"/>
  <c r="H79" i="22"/>
  <c r="M20" i="22"/>
  <c r="L22" i="22"/>
  <c r="I63" i="22"/>
  <c r="I24" i="22"/>
  <c r="W37" i="22"/>
  <c r="V69" i="22"/>
  <c r="H63" i="22"/>
  <c r="H24" i="22"/>
  <c r="J53" i="22"/>
  <c r="I86" i="22"/>
  <c r="I75" i="22"/>
  <c r="I97" i="22"/>
  <c r="I60" i="22"/>
  <c r="I62" i="22" s="1"/>
  <c r="I16" i="22"/>
  <c r="K46" i="22"/>
  <c r="L9" i="22"/>
  <c r="K10" i="22"/>
  <c r="K49" i="22"/>
  <c r="K59" i="22" s="1"/>
  <c r="J11" i="22"/>
  <c r="J14" i="22" s="1"/>
  <c r="K7" i="22"/>
  <c r="S48" i="22"/>
  <c r="J19" i="24"/>
  <c r="I22" i="24"/>
  <c r="I25" i="24" s="1"/>
  <c r="M74" i="46" l="1"/>
  <c r="M76" i="46" s="1"/>
  <c r="M41" i="47"/>
  <c r="M91" i="47" s="1"/>
  <c r="M40" i="47"/>
  <c r="M80" i="47" s="1"/>
  <c r="J93" i="46"/>
  <c r="J104" i="46"/>
  <c r="J82" i="46"/>
  <c r="AA51" i="46"/>
  <c r="AA50" i="46"/>
  <c r="K102" i="46"/>
  <c r="K103" i="46" s="1"/>
  <c r="K40" i="46"/>
  <c r="K80" i="46" s="1"/>
  <c r="K81" i="46" s="1"/>
  <c r="K41" i="46"/>
  <c r="K91" i="46" s="1"/>
  <c r="K92" i="46" s="1"/>
  <c r="M38" i="46"/>
  <c r="M39" i="46" s="1"/>
  <c r="M102" i="46" s="1"/>
  <c r="Y79" i="46"/>
  <c r="Y54" i="46"/>
  <c r="Y68" i="46" s="1"/>
  <c r="AB24" i="46"/>
  <c r="AB26" i="46" s="1"/>
  <c r="AB56" i="46" s="1"/>
  <c r="AB61" i="46" s="1"/>
  <c r="AB46" i="46"/>
  <c r="Z79" i="46"/>
  <c r="Z54" i="46"/>
  <c r="Z68" i="46" s="1"/>
  <c r="L74" i="46"/>
  <c r="L76" i="46" s="1"/>
  <c r="N72" i="46"/>
  <c r="AA101" i="46"/>
  <c r="AA64" i="46"/>
  <c r="AA90" i="46" s="1"/>
  <c r="K82" i="47"/>
  <c r="K93" i="47"/>
  <c r="K104" i="47"/>
  <c r="N73" i="47"/>
  <c r="N74" i="47" s="1"/>
  <c r="N76" i="47" s="1"/>
  <c r="Y71" i="47"/>
  <c r="O72" i="47" s="1"/>
  <c r="AB51" i="47"/>
  <c r="AB50" i="47"/>
  <c r="AB52" i="47" s="1"/>
  <c r="AB101" i="47"/>
  <c r="AB104" i="47" s="1"/>
  <c r="AB64" i="47"/>
  <c r="AB90" i="47" s="1"/>
  <c r="L102" i="47"/>
  <c r="L103" i="47" s="1"/>
  <c r="L40" i="47"/>
  <c r="L80" i="47" s="1"/>
  <c r="L81" i="47" s="1"/>
  <c r="L41" i="47"/>
  <c r="L91" i="47" s="1"/>
  <c r="L92" i="47" s="1"/>
  <c r="AA79" i="47"/>
  <c r="AA54" i="47"/>
  <c r="AA68" i="47" s="1"/>
  <c r="Z79" i="47"/>
  <c r="Z54" i="47"/>
  <c r="Z68" i="47" s="1"/>
  <c r="K92" i="48"/>
  <c r="J93" i="48"/>
  <c r="K81" i="48"/>
  <c r="J82" i="48"/>
  <c r="K103" i="48"/>
  <c r="J104" i="48"/>
  <c r="AB24" i="48"/>
  <c r="AB26" i="48" s="1"/>
  <c r="AB56" i="48" s="1"/>
  <c r="AB61" i="48" s="1"/>
  <c r="AB46" i="48"/>
  <c r="AA51" i="48"/>
  <c r="AA50" i="48"/>
  <c r="L102" i="48"/>
  <c r="L40" i="48"/>
  <c r="L80" i="48" s="1"/>
  <c r="L41" i="48"/>
  <c r="L91" i="48" s="1"/>
  <c r="AA101" i="48"/>
  <c r="AA64" i="48"/>
  <c r="AA90" i="48" s="1"/>
  <c r="M74" i="48"/>
  <c r="M76" i="48" s="1"/>
  <c r="N73" i="48"/>
  <c r="N74" i="48" s="1"/>
  <c r="N76" i="48" s="1"/>
  <c r="Y71" i="48"/>
  <c r="O72" i="48" s="1"/>
  <c r="Z52" i="48"/>
  <c r="K15" i="24"/>
  <c r="J35" i="24"/>
  <c r="I27" i="24"/>
  <c r="I37" i="24"/>
  <c r="G25" i="28"/>
  <c r="G26" i="28" s="1"/>
  <c r="H24" i="28"/>
  <c r="I79" i="22"/>
  <c r="L7" i="22"/>
  <c r="K11" i="22"/>
  <c r="K14" i="22" s="1"/>
  <c r="H26" i="22"/>
  <c r="H56" i="22" s="1"/>
  <c r="H61" i="22" s="1"/>
  <c r="H25" i="22"/>
  <c r="K51" i="22"/>
  <c r="K50" i="22"/>
  <c r="J16" i="22"/>
  <c r="J86" i="22"/>
  <c r="J75" i="22"/>
  <c r="J97" i="22"/>
  <c r="J60" i="22"/>
  <c r="J62" i="22" s="1"/>
  <c r="K53" i="22"/>
  <c r="G101" i="22"/>
  <c r="G64" i="22"/>
  <c r="G90" i="22" s="1"/>
  <c r="W69" i="22"/>
  <c r="X37" i="22"/>
  <c r="T58" i="22"/>
  <c r="U8" i="22"/>
  <c r="U48" i="22" s="1"/>
  <c r="L70" i="22"/>
  <c r="M22" i="22"/>
  <c r="N20" i="22"/>
  <c r="V21" i="22"/>
  <c r="U47" i="22"/>
  <c r="U57" i="22"/>
  <c r="L46" i="22"/>
  <c r="M9" i="22"/>
  <c r="L10" i="22"/>
  <c r="I25" i="22"/>
  <c r="I26" i="22" s="1"/>
  <c r="I56" i="22" s="1"/>
  <c r="I61" i="22" s="1"/>
  <c r="J52" i="22"/>
  <c r="J23" i="22"/>
  <c r="T48" i="22"/>
  <c r="K19" i="24"/>
  <c r="J22" i="24"/>
  <c r="J25" i="24" s="1"/>
  <c r="K93" i="46" l="1"/>
  <c r="K82" i="46"/>
  <c r="K104" i="46"/>
  <c r="O73" i="46"/>
  <c r="Z71" i="46"/>
  <c r="AA52" i="46"/>
  <c r="AB51" i="46"/>
  <c r="AB50" i="46"/>
  <c r="AB52" i="46" s="1"/>
  <c r="M41" i="46"/>
  <c r="M91" i="46" s="1"/>
  <c r="M40" i="46"/>
  <c r="M80" i="46" s="1"/>
  <c r="L38" i="46"/>
  <c r="L39" i="46" s="1"/>
  <c r="AB101" i="46"/>
  <c r="AB104" i="46" s="1"/>
  <c r="AB64" i="46"/>
  <c r="AB90" i="46" s="1"/>
  <c r="N73" i="46"/>
  <c r="N74" i="46" s="1"/>
  <c r="N76" i="46" s="1"/>
  <c r="Y71" i="46"/>
  <c r="O72" i="46" s="1"/>
  <c r="O74" i="46" s="1"/>
  <c r="O76" i="46" s="1"/>
  <c r="M81" i="47"/>
  <c r="L82" i="47"/>
  <c r="M92" i="47"/>
  <c r="L93" i="47"/>
  <c r="N38" i="47"/>
  <c r="N39" i="47" s="1"/>
  <c r="P73" i="47"/>
  <c r="AA71" i="47"/>
  <c r="AB79" i="47"/>
  <c r="AB54" i="47"/>
  <c r="AB68" i="47" s="1"/>
  <c r="M103" i="47"/>
  <c r="L104" i="47"/>
  <c r="O73" i="47"/>
  <c r="O74" i="47" s="1"/>
  <c r="O76" i="47" s="1"/>
  <c r="Z71" i="47"/>
  <c r="P72" i="47" s="1"/>
  <c r="P74" i="47" s="1"/>
  <c r="P76" i="47" s="1"/>
  <c r="N38" i="48"/>
  <c r="N39" i="48" s="1"/>
  <c r="N102" i="48" s="1"/>
  <c r="L81" i="48"/>
  <c r="K82" i="48"/>
  <c r="AB51" i="48"/>
  <c r="AB50" i="48"/>
  <c r="Z79" i="48"/>
  <c r="Z54" i="48"/>
  <c r="Z68" i="48" s="1"/>
  <c r="AB101" i="48"/>
  <c r="AB104" i="48" s="1"/>
  <c r="AB64" i="48"/>
  <c r="AB90" i="48" s="1"/>
  <c r="L103" i="48"/>
  <c r="K104" i="48"/>
  <c r="M38" i="48"/>
  <c r="M39" i="48" s="1"/>
  <c r="AA52" i="48"/>
  <c r="L92" i="48"/>
  <c r="K93" i="48"/>
  <c r="L15" i="24"/>
  <c r="K35" i="24"/>
  <c r="J27" i="24"/>
  <c r="J37" i="24" s="1"/>
  <c r="G27" i="28"/>
  <c r="G28" i="28" s="1"/>
  <c r="H26" i="28"/>
  <c r="K52" i="22"/>
  <c r="K79" i="22" s="1"/>
  <c r="M10" i="22"/>
  <c r="N9" i="22"/>
  <c r="L11" i="22"/>
  <c r="L14" i="22" s="1"/>
  <c r="L23" i="22" s="1"/>
  <c r="M7" i="22"/>
  <c r="K16" i="22"/>
  <c r="K86" i="22"/>
  <c r="K75" i="22"/>
  <c r="L53" i="22"/>
  <c r="K60" i="22"/>
  <c r="K62" i="22" s="1"/>
  <c r="K97" i="22"/>
  <c r="I64" i="22"/>
  <c r="I90" i="22" s="1"/>
  <c r="I101" i="22"/>
  <c r="K23" i="22"/>
  <c r="H64" i="22"/>
  <c r="H90" i="22" s="1"/>
  <c r="H101" i="22"/>
  <c r="X69" i="22"/>
  <c r="Y37" i="22"/>
  <c r="V57" i="22"/>
  <c r="V47" i="22"/>
  <c r="W21" i="22"/>
  <c r="J54" i="22"/>
  <c r="J68" i="22" s="1"/>
  <c r="J71" i="22" s="1"/>
  <c r="J79" i="22"/>
  <c r="V8" i="22"/>
  <c r="V48" i="22" s="1"/>
  <c r="U58" i="22"/>
  <c r="L51" i="22"/>
  <c r="M70" i="22"/>
  <c r="M46" i="22"/>
  <c r="N22" i="22"/>
  <c r="O20" i="22"/>
  <c r="K54" i="22"/>
  <c r="K68" i="22" s="1"/>
  <c r="K71" i="22" s="1"/>
  <c r="J63" i="22"/>
  <c r="J24" i="22"/>
  <c r="L49" i="22"/>
  <c r="L59" i="22" s="1"/>
  <c r="K22" i="24"/>
  <c r="K25" i="24" s="1"/>
  <c r="L19" i="24"/>
  <c r="M19" i="24" s="1"/>
  <c r="N38" i="46" l="1"/>
  <c r="N39" i="46" s="1"/>
  <c r="AB79" i="46"/>
  <c r="AB54" i="46"/>
  <c r="AB68" i="46" s="1"/>
  <c r="O38" i="46"/>
  <c r="O39" i="46" s="1"/>
  <c r="O102" i="46" s="1"/>
  <c r="L102" i="46"/>
  <c r="L103" i="46" s="1"/>
  <c r="L40" i="46"/>
  <c r="L80" i="46" s="1"/>
  <c r="L81" i="46" s="1"/>
  <c r="L41" i="46"/>
  <c r="L91" i="46" s="1"/>
  <c r="L92" i="46" s="1"/>
  <c r="AA79" i="46"/>
  <c r="AA54" i="46"/>
  <c r="AA68" i="46" s="1"/>
  <c r="P72" i="46"/>
  <c r="O38" i="47"/>
  <c r="O39" i="47" s="1"/>
  <c r="P38" i="47"/>
  <c r="P39" i="47" s="1"/>
  <c r="P102" i="47" s="1"/>
  <c r="Q73" i="47"/>
  <c r="AB71" i="47"/>
  <c r="Q72" i="47"/>
  <c r="N102" i="47"/>
  <c r="N40" i="47"/>
  <c r="N80" i="47" s="1"/>
  <c r="N81" i="47" s="1"/>
  <c r="N41" i="47"/>
  <c r="N91" i="47" s="1"/>
  <c r="M82" i="47"/>
  <c r="N103" i="47"/>
  <c r="M104" i="47"/>
  <c r="N92" i="47"/>
  <c r="M93" i="47"/>
  <c r="M102" i="48"/>
  <c r="M103" i="48" s="1"/>
  <c r="M40" i="48"/>
  <c r="M80" i="48" s="1"/>
  <c r="M81" i="48" s="1"/>
  <c r="M41" i="48"/>
  <c r="M91" i="48" s="1"/>
  <c r="M92" i="48" s="1"/>
  <c r="L104" i="48"/>
  <c r="AB52" i="48"/>
  <c r="AA79" i="48"/>
  <c r="AA54" i="48"/>
  <c r="AA68" i="48" s="1"/>
  <c r="O73" i="48"/>
  <c r="O74" i="48" s="1"/>
  <c r="O76" i="48" s="1"/>
  <c r="Z71" i="48"/>
  <c r="P72" i="48" s="1"/>
  <c r="L93" i="48"/>
  <c r="N41" i="48"/>
  <c r="N91" i="48" s="1"/>
  <c r="N40" i="48"/>
  <c r="N80" i="48" s="1"/>
  <c r="L82" i="48"/>
  <c r="M15" i="24"/>
  <c r="M35" i="24" s="1"/>
  <c r="L35" i="24"/>
  <c r="K27" i="24"/>
  <c r="K37" i="24" s="1"/>
  <c r="G29" i="28"/>
  <c r="G30" i="28" s="1"/>
  <c r="H28" i="28"/>
  <c r="L63" i="22"/>
  <c r="L24" i="22"/>
  <c r="N70" i="22"/>
  <c r="N10" i="22"/>
  <c r="O9" i="22"/>
  <c r="Y69" i="22"/>
  <c r="Z37" i="22"/>
  <c r="Z69" i="22" s="1"/>
  <c r="M11" i="22"/>
  <c r="M14" i="22" s="1"/>
  <c r="M23" i="22" s="1"/>
  <c r="N7" i="22"/>
  <c r="N49" i="22" s="1"/>
  <c r="N59" i="22" s="1"/>
  <c r="V58" i="22"/>
  <c r="W8" i="22"/>
  <c r="W48" i="22" s="1"/>
  <c r="N46" i="22"/>
  <c r="J25" i="22"/>
  <c r="J26" i="22" s="1"/>
  <c r="J56" i="22" s="1"/>
  <c r="J61" i="22" s="1"/>
  <c r="L86" i="22"/>
  <c r="L16" i="22"/>
  <c r="L75" i="22"/>
  <c r="L60" i="22"/>
  <c r="L62" i="22" s="1"/>
  <c r="M53" i="22"/>
  <c r="L97" i="22"/>
  <c r="M50" i="22"/>
  <c r="M52" i="22" s="1"/>
  <c r="M51" i="22"/>
  <c r="O22" i="22"/>
  <c r="P20" i="22"/>
  <c r="W57" i="22"/>
  <c r="W47" i="22"/>
  <c r="X21" i="22"/>
  <c r="K63" i="22"/>
  <c r="K24" i="22"/>
  <c r="M49" i="22"/>
  <c r="M59" i="22" s="1"/>
  <c r="L50" i="22"/>
  <c r="L52" i="22" s="1"/>
  <c r="L22" i="24"/>
  <c r="L25" i="24" s="1"/>
  <c r="M22" i="24"/>
  <c r="M25" i="24" s="1"/>
  <c r="M81" i="46" l="1"/>
  <c r="L82" i="46"/>
  <c r="P73" i="46"/>
  <c r="P74" i="46" s="1"/>
  <c r="P76" i="46" s="1"/>
  <c r="AA71" i="46"/>
  <c r="Q72" i="46" s="1"/>
  <c r="M103" i="46"/>
  <c r="L104" i="46"/>
  <c r="AB71" i="46"/>
  <c r="Q73" i="46"/>
  <c r="N102" i="46"/>
  <c r="N40" i="46"/>
  <c r="N80" i="46" s="1"/>
  <c r="N41" i="46"/>
  <c r="N91" i="46" s="1"/>
  <c r="O103" i="46"/>
  <c r="O104" i="46" s="1"/>
  <c r="O41" i="46"/>
  <c r="O91" i="46" s="1"/>
  <c r="M92" i="46"/>
  <c r="L93" i="46"/>
  <c r="O40" i="46"/>
  <c r="O80" i="46" s="1"/>
  <c r="N82" i="47"/>
  <c r="P103" i="47"/>
  <c r="P104" i="47" s="1"/>
  <c r="O102" i="47"/>
  <c r="O40" i="47"/>
  <c r="O80" i="47" s="1"/>
  <c r="D84" i="47" s="1"/>
  <c r="O41" i="47"/>
  <c r="O91" i="47" s="1"/>
  <c r="D95" i="47" s="1"/>
  <c r="N104" i="47"/>
  <c r="Q74" i="47"/>
  <c r="Q76" i="47" s="1"/>
  <c r="Q38" i="47" s="1"/>
  <c r="P41" i="47"/>
  <c r="P91" i="47" s="1"/>
  <c r="N93" i="47"/>
  <c r="P40" i="47"/>
  <c r="P80" i="47" s="1"/>
  <c r="N103" i="48"/>
  <c r="M104" i="48"/>
  <c r="AB79" i="48"/>
  <c r="AB54" i="48"/>
  <c r="AB68" i="48" s="1"/>
  <c r="P73" i="48"/>
  <c r="P74" i="48" s="1"/>
  <c r="P76" i="48" s="1"/>
  <c r="AA71" i="48"/>
  <c r="Q72" i="48" s="1"/>
  <c r="N92" i="48"/>
  <c r="M93" i="48"/>
  <c r="N81" i="48"/>
  <c r="M82" i="48"/>
  <c r="O38" i="48"/>
  <c r="O39" i="48" s="1"/>
  <c r="L27" i="24"/>
  <c r="L37" i="24" s="1"/>
  <c r="H30" i="28"/>
  <c r="G31" i="28"/>
  <c r="G32" i="28" s="1"/>
  <c r="H32" i="28" s="1"/>
  <c r="H35" i="28" s="1"/>
  <c r="G50" i="28" s="1"/>
  <c r="H50" i="28" s="1"/>
  <c r="M79" i="22"/>
  <c r="M54" i="22"/>
  <c r="M68" i="22" s="1"/>
  <c r="M71" i="22" s="1"/>
  <c r="P9" i="22"/>
  <c r="O10" i="22"/>
  <c r="O46" i="22"/>
  <c r="L79" i="22"/>
  <c r="L54" i="22"/>
  <c r="L68" i="22" s="1"/>
  <c r="L71" i="22" s="1"/>
  <c r="P22" i="22"/>
  <c r="Q20" i="22"/>
  <c r="N51" i="22"/>
  <c r="N50" i="22"/>
  <c r="N53" i="22"/>
  <c r="M16" i="22"/>
  <c r="M97" i="22"/>
  <c r="M60" i="22"/>
  <c r="M62" i="22" s="1"/>
  <c r="M86" i="22"/>
  <c r="M75" i="22"/>
  <c r="N11" i="22"/>
  <c r="N14" i="22" s="1"/>
  <c r="O7" i="22"/>
  <c r="O49" i="22" s="1"/>
  <c r="O59" i="22" s="1"/>
  <c r="O70" i="22"/>
  <c r="M63" i="22"/>
  <c r="M24" i="22"/>
  <c r="K25" i="22"/>
  <c r="K26" i="22" s="1"/>
  <c r="K56" i="22" s="1"/>
  <c r="K61" i="22" s="1"/>
  <c r="L25" i="22"/>
  <c r="L26" i="22" s="1"/>
  <c r="L56" i="22" s="1"/>
  <c r="L61" i="22" s="1"/>
  <c r="W58" i="22"/>
  <c r="X8" i="22"/>
  <c r="X48" i="22" s="1"/>
  <c r="Y21" i="22"/>
  <c r="X57" i="22"/>
  <c r="X47" i="22"/>
  <c r="J64" i="22"/>
  <c r="J90" i="22" s="1"/>
  <c r="J101" i="22"/>
  <c r="M27" i="24"/>
  <c r="B92" i="19"/>
  <c r="C78" i="19"/>
  <c r="D78" i="19" s="1"/>
  <c r="E78" i="19" s="1"/>
  <c r="F78" i="19" s="1"/>
  <c r="C74" i="19"/>
  <c r="D74" i="19" s="1"/>
  <c r="E74" i="19" s="1"/>
  <c r="F74" i="19" s="1"/>
  <c r="C66" i="19"/>
  <c r="E65" i="19"/>
  <c r="E62" i="19"/>
  <c r="C62" i="19" s="1"/>
  <c r="C61" i="19"/>
  <c r="D57" i="19"/>
  <c r="D52" i="19"/>
  <c r="C45" i="19"/>
  <c r="B45" i="19"/>
  <c r="G40" i="19"/>
  <c r="D45" i="19" s="1"/>
  <c r="F29" i="19"/>
  <c r="F42" i="19" s="1"/>
  <c r="E29" i="19"/>
  <c r="E42" i="19" s="1"/>
  <c r="D29" i="19"/>
  <c r="D31" i="19" s="1"/>
  <c r="C29" i="19"/>
  <c r="C42" i="19" s="1"/>
  <c r="B29" i="19"/>
  <c r="B76" i="19" s="1"/>
  <c r="F21" i="19"/>
  <c r="E21" i="19"/>
  <c r="D21" i="19"/>
  <c r="C21" i="19"/>
  <c r="B21" i="19"/>
  <c r="F11" i="19"/>
  <c r="E11" i="19"/>
  <c r="D11" i="19"/>
  <c r="C11" i="19"/>
  <c r="B11" i="19"/>
  <c r="O92" i="47" l="1"/>
  <c r="P92" i="47" s="1"/>
  <c r="Q74" i="46"/>
  <c r="Q76" i="46" s="1"/>
  <c r="Q38" i="46" s="1"/>
  <c r="R38" i="46" s="1"/>
  <c r="S38" i="46" s="1"/>
  <c r="T38" i="46" s="1"/>
  <c r="U38" i="46" s="1"/>
  <c r="V38" i="46" s="1"/>
  <c r="W38" i="46" s="1"/>
  <c r="X38" i="46" s="1"/>
  <c r="Y38" i="46" s="1"/>
  <c r="Z38" i="46" s="1"/>
  <c r="AA38" i="46" s="1"/>
  <c r="P38" i="46"/>
  <c r="P39" i="46" s="1"/>
  <c r="N92" i="46"/>
  <c r="M93" i="46"/>
  <c r="N103" i="46"/>
  <c r="M104" i="46"/>
  <c r="D95" i="46"/>
  <c r="Q39" i="46"/>
  <c r="Q40" i="46" s="1"/>
  <c r="N81" i="46"/>
  <c r="M82" i="46"/>
  <c r="Q39" i="47"/>
  <c r="R38" i="47"/>
  <c r="S38" i="47" s="1"/>
  <c r="T38" i="47" s="1"/>
  <c r="U38" i="47" s="1"/>
  <c r="V38" i="47" s="1"/>
  <c r="W38" i="47" s="1"/>
  <c r="X38" i="47" s="1"/>
  <c r="Y38" i="47" s="1"/>
  <c r="Z38" i="47" s="1"/>
  <c r="AA38" i="47" s="1"/>
  <c r="O93" i="47"/>
  <c r="D83" i="47"/>
  <c r="D85" i="47" s="1"/>
  <c r="D87" i="47" s="1"/>
  <c r="O81" i="47"/>
  <c r="E84" i="47" s="1"/>
  <c r="D94" i="47"/>
  <c r="D96" i="47" s="1"/>
  <c r="D98" i="47" s="1"/>
  <c r="O103" i="47"/>
  <c r="D106" i="47"/>
  <c r="D105" i="47"/>
  <c r="E95" i="47"/>
  <c r="P38" i="48"/>
  <c r="P39" i="48" s="1"/>
  <c r="O102" i="48"/>
  <c r="O41" i="48"/>
  <c r="O91" i="48" s="1"/>
  <c r="D95" i="48" s="1"/>
  <c r="O40" i="48"/>
  <c r="O80" i="48" s="1"/>
  <c r="D84" i="48" s="1"/>
  <c r="N104" i="48"/>
  <c r="N82" i="48"/>
  <c r="Q73" i="48"/>
  <c r="Q74" i="48" s="1"/>
  <c r="Q76" i="48" s="1"/>
  <c r="Q38" i="48" s="1"/>
  <c r="AB71" i="48"/>
  <c r="N93" i="48"/>
  <c r="M37" i="24"/>
  <c r="B79" i="19"/>
  <c r="C76" i="19"/>
  <c r="D76" i="19" s="1"/>
  <c r="E76" i="19" s="1"/>
  <c r="F76" i="19" s="1"/>
  <c r="B31" i="19"/>
  <c r="C31" i="19"/>
  <c r="D42" i="19"/>
  <c r="B42" i="19"/>
  <c r="D70" i="19"/>
  <c r="N52" i="22"/>
  <c r="N79" i="22" s="1"/>
  <c r="P70" i="22"/>
  <c r="Q22" i="22"/>
  <c r="R20" i="22"/>
  <c r="C72" i="22"/>
  <c r="X58" i="22"/>
  <c r="Y8" i="22"/>
  <c r="M25" i="22"/>
  <c r="N25" i="22" s="1"/>
  <c r="O25" i="22" s="1"/>
  <c r="P25" i="22" s="1"/>
  <c r="Q25" i="22" s="1"/>
  <c r="R25" i="22" s="1"/>
  <c r="S25" i="22" s="1"/>
  <c r="T25" i="22" s="1"/>
  <c r="U25" i="22" s="1"/>
  <c r="V25" i="22" s="1"/>
  <c r="W25" i="22" s="1"/>
  <c r="X25" i="22" s="1"/>
  <c r="Y25" i="22" s="1"/>
  <c r="Z25" i="22" s="1"/>
  <c r="AA25" i="22" s="1"/>
  <c r="P10" i="22"/>
  <c r="Q9" i="22"/>
  <c r="Y57" i="22"/>
  <c r="Y47" i="22"/>
  <c r="Z21" i="22"/>
  <c r="O51" i="22"/>
  <c r="O50" i="22"/>
  <c r="N97" i="22"/>
  <c r="N60" i="22"/>
  <c r="N62" i="22" s="1"/>
  <c r="N16" i="22"/>
  <c r="O53" i="22"/>
  <c r="N75" i="22"/>
  <c r="P7" i="22"/>
  <c r="P49" i="22" s="1"/>
  <c r="P59" i="22" s="1"/>
  <c r="O11" i="22"/>
  <c r="O14" i="22" s="1"/>
  <c r="O23" i="22" s="1"/>
  <c r="P46" i="22"/>
  <c r="K101" i="22"/>
  <c r="K64" i="22"/>
  <c r="K90" i="22" s="1"/>
  <c r="L101" i="22"/>
  <c r="L64" i="22"/>
  <c r="L90" i="22" s="1"/>
  <c r="N23" i="22"/>
  <c r="F31" i="19"/>
  <c r="E31" i="19"/>
  <c r="Q80" i="46" l="1"/>
  <c r="R40" i="46"/>
  <c r="O81" i="46"/>
  <c r="N82" i="46"/>
  <c r="D84" i="46"/>
  <c r="P102" i="46"/>
  <c r="P41" i="46"/>
  <c r="P91" i="46" s="1"/>
  <c r="P40" i="46"/>
  <c r="P80" i="46" s="1"/>
  <c r="E84" i="46" s="1"/>
  <c r="Q102" i="46"/>
  <c r="R39" i="46"/>
  <c r="N104" i="46"/>
  <c r="E105" i="46" s="1"/>
  <c r="D106" i="46"/>
  <c r="O92" i="46"/>
  <c r="N93" i="46"/>
  <c r="Q41" i="46"/>
  <c r="P93" i="47"/>
  <c r="P81" i="47"/>
  <c r="O82" i="47"/>
  <c r="Q102" i="47"/>
  <c r="R39" i="47"/>
  <c r="Q40" i="47"/>
  <c r="Q41" i="47"/>
  <c r="D107" i="47"/>
  <c r="D109" i="47" s="1"/>
  <c r="O104" i="47"/>
  <c r="E106" i="47"/>
  <c r="E94" i="47"/>
  <c r="E96" i="47" s="1"/>
  <c r="E98" i="47" s="1"/>
  <c r="O92" i="48"/>
  <c r="O93" i="48" s="1"/>
  <c r="O81" i="48"/>
  <c r="O82" i="48" s="1"/>
  <c r="Q39" i="48"/>
  <c r="R38" i="48"/>
  <c r="S38" i="48" s="1"/>
  <c r="T38" i="48" s="1"/>
  <c r="U38" i="48" s="1"/>
  <c r="V38" i="48" s="1"/>
  <c r="W38" i="48" s="1"/>
  <c r="X38" i="48" s="1"/>
  <c r="Y38" i="48" s="1"/>
  <c r="Z38" i="48" s="1"/>
  <c r="AA38" i="48" s="1"/>
  <c r="P102" i="48"/>
  <c r="P40" i="48"/>
  <c r="P80" i="48" s="1"/>
  <c r="E84" i="48" s="1"/>
  <c r="P41" i="48"/>
  <c r="P91" i="48" s="1"/>
  <c r="E95" i="48" s="1"/>
  <c r="D83" i="48"/>
  <c r="D85" i="48" s="1"/>
  <c r="D87" i="48" s="1"/>
  <c r="D105" i="48"/>
  <c r="D94" i="48"/>
  <c r="D96" i="48" s="1"/>
  <c r="D98" i="48" s="1"/>
  <c r="O103" i="48"/>
  <c r="O104" i="48" s="1"/>
  <c r="D106" i="48"/>
  <c r="N54" i="22"/>
  <c r="N68" i="22" s="1"/>
  <c r="C73" i="22" s="1"/>
  <c r="C74" i="22" s="1"/>
  <c r="C76" i="22" s="1"/>
  <c r="Z57" i="22"/>
  <c r="Z47" i="22"/>
  <c r="AA21" i="22"/>
  <c r="O63" i="22"/>
  <c r="O24" i="22"/>
  <c r="O26" i="22" s="1"/>
  <c r="O56" i="22" s="1"/>
  <c r="Q46" i="22"/>
  <c r="M26" i="22"/>
  <c r="M56" i="22" s="1"/>
  <c r="M61" i="22" s="1"/>
  <c r="Z8" i="22"/>
  <c r="Y58" i="22"/>
  <c r="Q10" i="22"/>
  <c r="R9" i="22"/>
  <c r="O52" i="22"/>
  <c r="Q70" i="22"/>
  <c r="R70" i="22" s="1"/>
  <c r="S70" i="22" s="1"/>
  <c r="T70" i="22" s="1"/>
  <c r="U70" i="22" s="1"/>
  <c r="V70" i="22" s="1"/>
  <c r="W70" i="22" s="1"/>
  <c r="X70" i="22" s="1"/>
  <c r="Y70" i="22" s="1"/>
  <c r="Z70" i="22" s="1"/>
  <c r="AA70" i="22" s="1"/>
  <c r="P51" i="22"/>
  <c r="P50" i="22"/>
  <c r="R22" i="22"/>
  <c r="S20" i="22"/>
  <c r="P11" i="22"/>
  <c r="P14" i="22" s="1"/>
  <c r="P23" i="22" s="1"/>
  <c r="Q49" i="22"/>
  <c r="Q59" i="22" s="1"/>
  <c r="Q7" i="22"/>
  <c r="N63" i="22"/>
  <c r="N24" i="22"/>
  <c r="N26" i="22" s="1"/>
  <c r="N56" i="22" s="1"/>
  <c r="N61" i="22" s="1"/>
  <c r="O97" i="22"/>
  <c r="O60" i="22"/>
  <c r="O62" i="22" s="1"/>
  <c r="P53" i="22"/>
  <c r="O75" i="22"/>
  <c r="O16" i="22"/>
  <c r="Y48" i="22"/>
  <c r="B82" i="19"/>
  <c r="B85" i="19" s="1"/>
  <c r="C79" i="19"/>
  <c r="P92" i="46" l="1"/>
  <c r="O93" i="46"/>
  <c r="E95" i="46"/>
  <c r="D83" i="46"/>
  <c r="D85" i="46" s="1"/>
  <c r="D87" i="46" s="1"/>
  <c r="Q91" i="46"/>
  <c r="F95" i="46" s="1"/>
  <c r="R41" i="46"/>
  <c r="P103" i="46"/>
  <c r="P104" i="46" s="1"/>
  <c r="E106" i="46"/>
  <c r="E107" i="46" s="1"/>
  <c r="E109" i="46" s="1"/>
  <c r="D94" i="46"/>
  <c r="D96" i="46" s="1"/>
  <c r="D98" i="46" s="1"/>
  <c r="D105" i="46"/>
  <c r="D107" i="46" s="1"/>
  <c r="D109" i="46" s="1"/>
  <c r="R102" i="46"/>
  <c r="S39" i="46"/>
  <c r="P81" i="46"/>
  <c r="F84" i="46" s="1"/>
  <c r="O82" i="46"/>
  <c r="R80" i="46"/>
  <c r="S40" i="46"/>
  <c r="Q103" i="46"/>
  <c r="Q104" i="46" s="1"/>
  <c r="F106" i="46"/>
  <c r="P82" i="47"/>
  <c r="F83" i="47" s="1"/>
  <c r="E105" i="47"/>
  <c r="E107" i="47" s="1"/>
  <c r="E109" i="47" s="1"/>
  <c r="F105" i="47"/>
  <c r="F107" i="47" s="1"/>
  <c r="F109" i="47" s="1"/>
  <c r="R102" i="47"/>
  <c r="S39" i="47"/>
  <c r="F94" i="47"/>
  <c r="Q103" i="47"/>
  <c r="Q104" i="47" s="1"/>
  <c r="G105" i="47" s="1"/>
  <c r="F106" i="47"/>
  <c r="Q80" i="47"/>
  <c r="F84" i="47" s="1"/>
  <c r="R40" i="47"/>
  <c r="Q91" i="47"/>
  <c r="R41" i="47"/>
  <c r="E83" i="47"/>
  <c r="E85" i="47" s="1"/>
  <c r="E87" i="47" s="1"/>
  <c r="P81" i="48"/>
  <c r="P92" i="48"/>
  <c r="P93" i="48" s="1"/>
  <c r="P103" i="48"/>
  <c r="P104" i="48" s="1"/>
  <c r="F105" i="48" s="1"/>
  <c r="E106" i="48"/>
  <c r="E105" i="48"/>
  <c r="D107" i="48"/>
  <c r="D109" i="48" s="1"/>
  <c r="E83" i="48"/>
  <c r="E85" i="48" s="1"/>
  <c r="E87" i="48" s="1"/>
  <c r="Q102" i="48"/>
  <c r="R39" i="48"/>
  <c r="Q40" i="48"/>
  <c r="Q41" i="48"/>
  <c r="E94" i="48"/>
  <c r="E96" i="48" s="1"/>
  <c r="E98" i="48" s="1"/>
  <c r="P82" i="48"/>
  <c r="P52" i="22"/>
  <c r="P79" i="22" s="1"/>
  <c r="N71" i="22"/>
  <c r="D72" i="22" s="1"/>
  <c r="M101" i="22"/>
  <c r="M64" i="22"/>
  <c r="M90" i="22" s="1"/>
  <c r="N64" i="22"/>
  <c r="N90" i="22" s="1"/>
  <c r="N101" i="22"/>
  <c r="Q51" i="22"/>
  <c r="Q50" i="22"/>
  <c r="R46" i="22"/>
  <c r="Z58" i="22"/>
  <c r="AA8" i="22"/>
  <c r="AA48" i="22" s="1"/>
  <c r="Z48" i="22"/>
  <c r="S9" i="22"/>
  <c r="R10" i="22"/>
  <c r="C38" i="22"/>
  <c r="C39" i="22" s="1"/>
  <c r="C102" i="22" s="1"/>
  <c r="C103" i="22" s="1"/>
  <c r="O54" i="22"/>
  <c r="O68" i="22" s="1"/>
  <c r="O79" i="22"/>
  <c r="AA47" i="22"/>
  <c r="AA57" i="22"/>
  <c r="T20" i="22"/>
  <c r="S22" i="22"/>
  <c r="P63" i="22"/>
  <c r="P24" i="22"/>
  <c r="P26" i="22" s="1"/>
  <c r="P56" i="22" s="1"/>
  <c r="P61" i="22" s="1"/>
  <c r="P75" i="22"/>
  <c r="P97" i="22"/>
  <c r="P60" i="22"/>
  <c r="P62" i="22" s="1"/>
  <c r="Q53" i="22"/>
  <c r="P16" i="22"/>
  <c r="R49" i="22"/>
  <c r="R59" i="22" s="1"/>
  <c r="Q11" i="22"/>
  <c r="Q14" i="22" s="1"/>
  <c r="Q23" i="22" s="1"/>
  <c r="R7" i="22"/>
  <c r="O61" i="22"/>
  <c r="C82" i="19"/>
  <c r="C85" i="19" s="1"/>
  <c r="C87" i="19" s="1"/>
  <c r="D79" i="19"/>
  <c r="B87" i="19"/>
  <c r="E83" i="46" l="1"/>
  <c r="E85" i="46" s="1"/>
  <c r="E87" i="46" s="1"/>
  <c r="Q92" i="46"/>
  <c r="P93" i="46"/>
  <c r="Q81" i="46"/>
  <c r="P82" i="46"/>
  <c r="F83" i="46" s="1"/>
  <c r="F85" i="46" s="1"/>
  <c r="F87" i="46" s="1"/>
  <c r="G105" i="46"/>
  <c r="R91" i="46"/>
  <c r="S41" i="46"/>
  <c r="S80" i="46"/>
  <c r="T40" i="46"/>
  <c r="S102" i="46"/>
  <c r="T39" i="46"/>
  <c r="G84" i="46"/>
  <c r="R103" i="46"/>
  <c r="R104" i="46" s="1"/>
  <c r="H105" i="46" s="1"/>
  <c r="G106" i="46"/>
  <c r="F105" i="46"/>
  <c r="F107" i="46" s="1"/>
  <c r="F109" i="46" s="1"/>
  <c r="E94" i="46"/>
  <c r="E96" i="46" s="1"/>
  <c r="E98" i="46" s="1"/>
  <c r="R80" i="47"/>
  <c r="S40" i="47"/>
  <c r="S102" i="47"/>
  <c r="T39" i="47"/>
  <c r="R91" i="47"/>
  <c r="S41" i="47"/>
  <c r="R103" i="47"/>
  <c r="R104" i="47" s="1"/>
  <c r="G106" i="47"/>
  <c r="F85" i="47"/>
  <c r="F87" i="47" s="1"/>
  <c r="F95" i="47"/>
  <c r="F96" i="47" s="1"/>
  <c r="F98" i="47" s="1"/>
  <c r="Q92" i="47"/>
  <c r="G107" i="47"/>
  <c r="G109" i="47" s="1"/>
  <c r="Q81" i="47"/>
  <c r="Q103" i="48"/>
  <c r="Q104" i="48" s="1"/>
  <c r="F106" i="48"/>
  <c r="F107" i="48" s="1"/>
  <c r="F109" i="48" s="1"/>
  <c r="F83" i="48"/>
  <c r="F94" i="48"/>
  <c r="Q80" i="48"/>
  <c r="R40" i="48"/>
  <c r="Q91" i="48"/>
  <c r="R41" i="48"/>
  <c r="R102" i="48"/>
  <c r="S39" i="48"/>
  <c r="E107" i="48"/>
  <c r="E109" i="48" s="1"/>
  <c r="P54" i="22"/>
  <c r="P68" i="22" s="1"/>
  <c r="P71" i="22" s="1"/>
  <c r="Q63" i="22"/>
  <c r="Q24" i="22"/>
  <c r="Q26" i="22" s="1"/>
  <c r="Q56" i="22" s="1"/>
  <c r="S46" i="22"/>
  <c r="R50" i="22"/>
  <c r="R51" i="22"/>
  <c r="C104" i="22"/>
  <c r="D73" i="22"/>
  <c r="D74" i="22" s="1"/>
  <c r="D76" i="22" s="1"/>
  <c r="O71" i="22"/>
  <c r="R11" i="22"/>
  <c r="R14" i="22" s="1"/>
  <c r="R23" i="22" s="1"/>
  <c r="S7" i="22"/>
  <c r="O64" i="22"/>
  <c r="O90" i="22" s="1"/>
  <c r="O101" i="22"/>
  <c r="T9" i="22"/>
  <c r="S10" i="22"/>
  <c r="U20" i="22"/>
  <c r="T22" i="22"/>
  <c r="P64" i="22"/>
  <c r="P90" i="22" s="1"/>
  <c r="P101" i="22"/>
  <c r="R53" i="22"/>
  <c r="Q60" i="22"/>
  <c r="Q62" i="22" s="1"/>
  <c r="Q16" i="22"/>
  <c r="AA58" i="22"/>
  <c r="Q52" i="22"/>
  <c r="E79" i="19"/>
  <c r="D82" i="19"/>
  <c r="D85" i="19" s="1"/>
  <c r="D87" i="19" s="1"/>
  <c r="G95" i="46" l="1"/>
  <c r="G95" i="47"/>
  <c r="T102" i="46"/>
  <c r="U39" i="46"/>
  <c r="S91" i="46"/>
  <c r="T41" i="46"/>
  <c r="R92" i="46"/>
  <c r="Q93" i="46"/>
  <c r="S103" i="46"/>
  <c r="S104" i="46" s="1"/>
  <c r="I105" i="46" s="1"/>
  <c r="H106" i="46"/>
  <c r="R81" i="46"/>
  <c r="H84" i="46" s="1"/>
  <c r="Q82" i="46"/>
  <c r="H107" i="46"/>
  <c r="H109" i="46" s="1"/>
  <c r="T80" i="46"/>
  <c r="U40" i="46"/>
  <c r="G107" i="46"/>
  <c r="G109" i="46" s="1"/>
  <c r="F94" i="46"/>
  <c r="F96" i="46" s="1"/>
  <c r="F98" i="46" s="1"/>
  <c r="H105" i="47"/>
  <c r="S103" i="47"/>
  <c r="S104" i="47" s="1"/>
  <c r="I105" i="47" s="1"/>
  <c r="H106" i="47"/>
  <c r="S91" i="47"/>
  <c r="T41" i="47"/>
  <c r="S80" i="47"/>
  <c r="T40" i="47"/>
  <c r="R81" i="47"/>
  <c r="Q82" i="47"/>
  <c r="R92" i="47"/>
  <c r="Q93" i="47"/>
  <c r="T102" i="47"/>
  <c r="U39" i="47"/>
  <c r="G84" i="47"/>
  <c r="R91" i="48"/>
  <c r="S41" i="48"/>
  <c r="S102" i="48"/>
  <c r="T39" i="48"/>
  <c r="F95" i="48"/>
  <c r="Q92" i="48"/>
  <c r="R80" i="48"/>
  <c r="S40" i="48"/>
  <c r="F96" i="48"/>
  <c r="F98" i="48" s="1"/>
  <c r="R103" i="48"/>
  <c r="R104" i="48" s="1"/>
  <c r="G106" i="48"/>
  <c r="F84" i="48"/>
  <c r="F85" i="48" s="1"/>
  <c r="F87" i="48" s="1"/>
  <c r="Q81" i="48"/>
  <c r="G105" i="48"/>
  <c r="R52" i="22"/>
  <c r="Q61" i="22"/>
  <c r="E73" i="22"/>
  <c r="D38" i="22"/>
  <c r="D39" i="22" s="1"/>
  <c r="T7" i="22"/>
  <c r="S11" i="22"/>
  <c r="S14" i="22" s="1"/>
  <c r="S23" i="22" s="1"/>
  <c r="Q79" i="22"/>
  <c r="Q54" i="22"/>
  <c r="Q68" i="22" s="1"/>
  <c r="T46" i="22"/>
  <c r="E72" i="22"/>
  <c r="R63" i="22"/>
  <c r="R24" i="22"/>
  <c r="R26" i="22" s="1"/>
  <c r="R56" i="22" s="1"/>
  <c r="R54" i="22"/>
  <c r="R68" i="22" s="1"/>
  <c r="R79" i="22"/>
  <c r="S49" i="22"/>
  <c r="S59" i="22" s="1"/>
  <c r="Q64" i="22"/>
  <c r="Q90" i="22" s="1"/>
  <c r="Q101" i="22"/>
  <c r="S51" i="22"/>
  <c r="U9" i="22"/>
  <c r="T10" i="22"/>
  <c r="F72" i="22"/>
  <c r="U22" i="22"/>
  <c r="V20" i="22"/>
  <c r="R16" i="22"/>
  <c r="R60" i="22"/>
  <c r="R62" i="22" s="1"/>
  <c r="S53" i="22"/>
  <c r="E82" i="19"/>
  <c r="E85" i="19" s="1"/>
  <c r="E87" i="19" s="1"/>
  <c r="F79" i="19"/>
  <c r="H84" i="47" l="1"/>
  <c r="H95" i="46"/>
  <c r="U80" i="46"/>
  <c r="V40" i="46"/>
  <c r="G94" i="46"/>
  <c r="G96" i="46" s="1"/>
  <c r="G98" i="46" s="1"/>
  <c r="G83" i="46"/>
  <c r="G85" i="46" s="1"/>
  <c r="G87" i="46" s="1"/>
  <c r="T91" i="46"/>
  <c r="U41" i="46"/>
  <c r="I84" i="46"/>
  <c r="S92" i="46"/>
  <c r="R93" i="46"/>
  <c r="U102" i="46"/>
  <c r="V39" i="46"/>
  <c r="S81" i="46"/>
  <c r="R82" i="46"/>
  <c r="H83" i="46" s="1"/>
  <c r="H85" i="46" s="1"/>
  <c r="H87" i="46" s="1"/>
  <c r="T103" i="46"/>
  <c r="T104" i="46" s="1"/>
  <c r="J105" i="46" s="1"/>
  <c r="I106" i="46"/>
  <c r="I107" i="46" s="1"/>
  <c r="I109" i="46" s="1"/>
  <c r="T103" i="47"/>
  <c r="T104" i="47" s="1"/>
  <c r="I106" i="47"/>
  <c r="G83" i="47"/>
  <c r="G85" i="47" s="1"/>
  <c r="G87" i="47" s="1"/>
  <c r="T91" i="47"/>
  <c r="U41" i="47"/>
  <c r="G94" i="47"/>
  <c r="G96" i="47" s="1"/>
  <c r="G98" i="47" s="1"/>
  <c r="S81" i="47"/>
  <c r="R82" i="47"/>
  <c r="H83" i="47" s="1"/>
  <c r="H85" i="47" s="1"/>
  <c r="H87" i="47" s="1"/>
  <c r="H95" i="47"/>
  <c r="T80" i="47"/>
  <c r="U40" i="47"/>
  <c r="U102" i="47"/>
  <c r="V39" i="47"/>
  <c r="S92" i="47"/>
  <c r="R93" i="47"/>
  <c r="I107" i="47"/>
  <c r="I109" i="47" s="1"/>
  <c r="H107" i="47"/>
  <c r="H109" i="47" s="1"/>
  <c r="G84" i="48"/>
  <c r="S103" i="48"/>
  <c r="S104" i="48" s="1"/>
  <c r="I105" i="48" s="1"/>
  <c r="H106" i="48"/>
  <c r="H105" i="48"/>
  <c r="R81" i="48"/>
  <c r="Q82" i="48"/>
  <c r="S91" i="48"/>
  <c r="T41" i="48"/>
  <c r="G107" i="48"/>
  <c r="G109" i="48" s="1"/>
  <c r="R92" i="48"/>
  <c r="Q93" i="48"/>
  <c r="S80" i="48"/>
  <c r="T40" i="48"/>
  <c r="T102" i="48"/>
  <c r="U39" i="48"/>
  <c r="G95" i="48"/>
  <c r="E74" i="22"/>
  <c r="E76" i="22" s="1"/>
  <c r="F73" i="22"/>
  <c r="F74" i="22" s="1"/>
  <c r="F76" i="22" s="1"/>
  <c r="Q71" i="22"/>
  <c r="D102" i="22"/>
  <c r="D103" i="22" s="1"/>
  <c r="D40" i="22"/>
  <c r="D80" i="22" s="1"/>
  <c r="D81" i="22" s="1"/>
  <c r="D41" i="22"/>
  <c r="D91" i="22" s="1"/>
  <c r="D92" i="22" s="1"/>
  <c r="T11" i="22"/>
  <c r="T14" i="22" s="1"/>
  <c r="U7" i="22"/>
  <c r="S16" i="22"/>
  <c r="T23" i="22"/>
  <c r="S60" i="22"/>
  <c r="S62" i="22" s="1"/>
  <c r="T53" i="22"/>
  <c r="T51" i="22"/>
  <c r="U46" i="22"/>
  <c r="G73" i="22"/>
  <c r="R71" i="22"/>
  <c r="E38" i="22"/>
  <c r="E39" i="22" s="1"/>
  <c r="T49" i="22"/>
  <c r="T59" i="22" s="1"/>
  <c r="S50" i="22"/>
  <c r="S52" i="22" s="1"/>
  <c r="U10" i="22"/>
  <c r="V9" i="22"/>
  <c r="S63" i="22"/>
  <c r="S24" i="22"/>
  <c r="S26" i="22" s="1"/>
  <c r="S56" i="22" s="1"/>
  <c r="V22" i="22"/>
  <c r="W20" i="22"/>
  <c r="R61" i="22"/>
  <c r="F82" i="19"/>
  <c r="F85" i="19" s="1"/>
  <c r="F87" i="19" s="1"/>
  <c r="G79" i="19"/>
  <c r="B43" i="17"/>
  <c r="C45" i="17" s="1"/>
  <c r="C42" i="17"/>
  <c r="D42" i="17" s="1"/>
  <c r="E42" i="17" s="1"/>
  <c r="F42" i="17" s="1"/>
  <c r="G42" i="17" s="1"/>
  <c r="H42" i="17" s="1"/>
  <c r="I42" i="17" s="1"/>
  <c r="B27" i="17"/>
  <c r="B28" i="17" s="1"/>
  <c r="G19" i="17"/>
  <c r="F19" i="17"/>
  <c r="E19" i="17"/>
  <c r="D19" i="17"/>
  <c r="C19" i="17"/>
  <c r="B19" i="17"/>
  <c r="B15" i="17"/>
  <c r="C15" i="17" s="1"/>
  <c r="D15" i="17" s="1"/>
  <c r="E15" i="17" s="1"/>
  <c r="F15" i="17" s="1"/>
  <c r="B14" i="17"/>
  <c r="C14" i="17" s="1"/>
  <c r="C13" i="17"/>
  <c r="D13" i="17" s="1"/>
  <c r="E13" i="17" s="1"/>
  <c r="F13" i="17" s="1"/>
  <c r="D9" i="17"/>
  <c r="E9" i="17" s="1"/>
  <c r="F9" i="17" s="1"/>
  <c r="C9" i="17"/>
  <c r="B36" i="16"/>
  <c r="B37" i="16" s="1"/>
  <c r="C25" i="16"/>
  <c r="D25" i="16" s="1"/>
  <c r="E25" i="16" s="1"/>
  <c r="F25" i="16" s="1"/>
  <c r="C23" i="16"/>
  <c r="D23" i="16" s="1"/>
  <c r="E23" i="16" s="1"/>
  <c r="F23" i="16" s="1"/>
  <c r="F21" i="16"/>
  <c r="D21" i="16"/>
  <c r="C16" i="16"/>
  <c r="E15" i="16"/>
  <c r="E16" i="16" s="1"/>
  <c r="B15" i="16"/>
  <c r="B16" i="16" s="1"/>
  <c r="F14" i="16"/>
  <c r="F16" i="16" s="1"/>
  <c r="D14" i="16"/>
  <c r="D16" i="16" s="1"/>
  <c r="G13" i="16"/>
  <c r="C9" i="16"/>
  <c r="E8" i="16"/>
  <c r="E9" i="16" s="1"/>
  <c r="B8" i="16"/>
  <c r="G8" i="16" s="1"/>
  <c r="F7" i="16"/>
  <c r="G7" i="16" s="1"/>
  <c r="D7" i="16"/>
  <c r="D9" i="16" s="1"/>
  <c r="G6" i="16"/>
  <c r="I84" i="47" l="1"/>
  <c r="I95" i="46"/>
  <c r="U103" i="46"/>
  <c r="U104" i="46" s="1"/>
  <c r="K105" i="46" s="1"/>
  <c r="J106" i="46"/>
  <c r="J107" i="46" s="1"/>
  <c r="J109" i="46" s="1"/>
  <c r="V102" i="46"/>
  <c r="W39" i="46"/>
  <c r="H94" i="46"/>
  <c r="H96" i="46" s="1"/>
  <c r="H98" i="46" s="1"/>
  <c r="V80" i="46"/>
  <c r="W40" i="46"/>
  <c r="U91" i="46"/>
  <c r="V41" i="46"/>
  <c r="T81" i="46"/>
  <c r="S82" i="46"/>
  <c r="T92" i="46"/>
  <c r="S93" i="46"/>
  <c r="J84" i="46"/>
  <c r="T81" i="47"/>
  <c r="S82" i="47"/>
  <c r="I95" i="47"/>
  <c r="V102" i="47"/>
  <c r="W39" i="47"/>
  <c r="U103" i="47"/>
  <c r="U104" i="47" s="1"/>
  <c r="J106" i="47"/>
  <c r="T92" i="47"/>
  <c r="S93" i="47"/>
  <c r="H94" i="47"/>
  <c r="H96" i="47" s="1"/>
  <c r="H98" i="47" s="1"/>
  <c r="U80" i="47"/>
  <c r="J84" i="47" s="1"/>
  <c r="V40" i="47"/>
  <c r="U91" i="47"/>
  <c r="V41" i="47"/>
  <c r="J105" i="47"/>
  <c r="J107" i="47" s="1"/>
  <c r="J109" i="47" s="1"/>
  <c r="H95" i="48"/>
  <c r="H84" i="48"/>
  <c r="H107" i="48"/>
  <c r="H109" i="48" s="1"/>
  <c r="S81" i="48"/>
  <c r="R82" i="48"/>
  <c r="H83" i="48" s="1"/>
  <c r="T103" i="48"/>
  <c r="T104" i="48" s="1"/>
  <c r="I106" i="48"/>
  <c r="I107" i="48" s="1"/>
  <c r="I109" i="48" s="1"/>
  <c r="T80" i="48"/>
  <c r="I84" i="48" s="1"/>
  <c r="U40" i="48"/>
  <c r="S92" i="48"/>
  <c r="R93" i="48"/>
  <c r="G83" i="48"/>
  <c r="G85" i="48" s="1"/>
  <c r="G87" i="48" s="1"/>
  <c r="U102" i="48"/>
  <c r="V39" i="48"/>
  <c r="G94" i="48"/>
  <c r="G96" i="48" s="1"/>
  <c r="G98" i="48" s="1"/>
  <c r="T91" i="48"/>
  <c r="I95" i="48" s="1"/>
  <c r="U41" i="48"/>
  <c r="G18" i="16"/>
  <c r="G21" i="16"/>
  <c r="B29" i="16" s="1"/>
  <c r="C20" i="16"/>
  <c r="G9" i="16"/>
  <c r="F9" i="16"/>
  <c r="F20" i="16"/>
  <c r="B9" i="16"/>
  <c r="B20" i="16" s="1"/>
  <c r="E20" i="16"/>
  <c r="D20" i="16"/>
  <c r="G15" i="16"/>
  <c r="F38" i="22"/>
  <c r="F39" i="22" s="1"/>
  <c r="T63" i="22"/>
  <c r="T24" i="22"/>
  <c r="T26" i="22" s="1"/>
  <c r="T56" i="22" s="1"/>
  <c r="D82" i="22"/>
  <c r="V10" i="22"/>
  <c r="W9" i="22"/>
  <c r="T16" i="22"/>
  <c r="T60" i="22"/>
  <c r="T62" i="22" s="1"/>
  <c r="U53" i="22"/>
  <c r="S79" i="22"/>
  <c r="S54" i="22"/>
  <c r="S68" i="22" s="1"/>
  <c r="U50" i="22"/>
  <c r="U52" i="22" s="1"/>
  <c r="U51" i="22"/>
  <c r="V46" i="22"/>
  <c r="R64" i="22"/>
  <c r="R90" i="22" s="1"/>
  <c r="R101" i="22"/>
  <c r="E102" i="22"/>
  <c r="E103" i="22" s="1"/>
  <c r="E40" i="22"/>
  <c r="E80" i="22" s="1"/>
  <c r="E81" i="22" s="1"/>
  <c r="E41" i="22"/>
  <c r="E91" i="22" s="1"/>
  <c r="E92" i="22" s="1"/>
  <c r="V49" i="22"/>
  <c r="V59" i="22" s="1"/>
  <c r="U11" i="22"/>
  <c r="U14" i="22" s="1"/>
  <c r="V7" i="22"/>
  <c r="H72" i="22"/>
  <c r="T50" i="22"/>
  <c r="T52" i="22" s="1"/>
  <c r="G72" i="22"/>
  <c r="G74" i="22" s="1"/>
  <c r="G76" i="22" s="1"/>
  <c r="D104" i="22"/>
  <c r="X20" i="22"/>
  <c r="W22" i="22"/>
  <c r="D93" i="22"/>
  <c r="S61" i="22"/>
  <c r="U49" i="22"/>
  <c r="U59" i="22" s="1"/>
  <c r="G82" i="19"/>
  <c r="G85" i="19" s="1"/>
  <c r="B16" i="17"/>
  <c r="B20" i="17" s="1"/>
  <c r="B22" i="17" s="1"/>
  <c r="C16" i="17"/>
  <c r="C20" i="17" s="1"/>
  <c r="C22" i="17" s="1"/>
  <c r="B44" i="17"/>
  <c r="H45" i="17"/>
  <c r="G45" i="17"/>
  <c r="F45" i="17"/>
  <c r="D14" i="17"/>
  <c r="C43" i="17"/>
  <c r="C44" i="17" s="1"/>
  <c r="B45" i="17"/>
  <c r="F43" i="17"/>
  <c r="F44" i="17" s="1"/>
  <c r="E45" i="17"/>
  <c r="B35" i="17"/>
  <c r="I43" i="17"/>
  <c r="I44" i="17" s="1"/>
  <c r="H43" i="17"/>
  <c r="H44" i="17" s="1"/>
  <c r="G43" i="17"/>
  <c r="G44" i="17" s="1"/>
  <c r="E43" i="17"/>
  <c r="E44" i="17" s="1"/>
  <c r="D45" i="17"/>
  <c r="I45" i="17"/>
  <c r="D43" i="17"/>
  <c r="D44" i="17" s="1"/>
  <c r="B31" i="16"/>
  <c r="C29" i="16"/>
  <c r="G14" i="16"/>
  <c r="G16" i="16" s="1"/>
  <c r="G20" i="16" s="1"/>
  <c r="I94" i="46" l="1"/>
  <c r="I96" i="46" s="1"/>
  <c r="I98" i="46" s="1"/>
  <c r="V91" i="46"/>
  <c r="W41" i="46"/>
  <c r="V103" i="46"/>
  <c r="V104" i="46" s="1"/>
  <c r="L105" i="46" s="1"/>
  <c r="K106" i="46"/>
  <c r="K107" i="46" s="1"/>
  <c r="K109" i="46" s="1"/>
  <c r="U92" i="46"/>
  <c r="T93" i="46"/>
  <c r="J95" i="46"/>
  <c r="U81" i="46"/>
  <c r="K84" i="46" s="1"/>
  <c r="T82" i="46"/>
  <c r="J83" i="46" s="1"/>
  <c r="J85" i="46" s="1"/>
  <c r="J87" i="46" s="1"/>
  <c r="I83" i="46"/>
  <c r="I85" i="46" s="1"/>
  <c r="I87" i="46" s="1"/>
  <c r="W80" i="46"/>
  <c r="X40" i="46"/>
  <c r="W102" i="46"/>
  <c r="X39" i="46"/>
  <c r="K105" i="47"/>
  <c r="V80" i="47"/>
  <c r="W40" i="47"/>
  <c r="I94" i="47"/>
  <c r="I96" i="47" s="1"/>
  <c r="I98" i="47" s="1"/>
  <c r="I83" i="47"/>
  <c r="I85" i="47" s="1"/>
  <c r="I87" i="47" s="1"/>
  <c r="V91" i="47"/>
  <c r="W41" i="47"/>
  <c r="U92" i="47"/>
  <c r="T93" i="47"/>
  <c r="W102" i="47"/>
  <c r="X39" i="47"/>
  <c r="U81" i="47"/>
  <c r="T82" i="47"/>
  <c r="J95" i="47"/>
  <c r="V103" i="47"/>
  <c r="V104" i="47" s="1"/>
  <c r="L105" i="47" s="1"/>
  <c r="K106" i="47"/>
  <c r="H85" i="48"/>
  <c r="H87" i="48" s="1"/>
  <c r="J105" i="48"/>
  <c r="U80" i="48"/>
  <c r="V40" i="48"/>
  <c r="U103" i="48"/>
  <c r="U104" i="48" s="1"/>
  <c r="K105" i="48" s="1"/>
  <c r="J106" i="48"/>
  <c r="H94" i="48"/>
  <c r="H96" i="48" s="1"/>
  <c r="H98" i="48" s="1"/>
  <c r="T92" i="48"/>
  <c r="S93" i="48"/>
  <c r="U91" i="48"/>
  <c r="V41" i="48"/>
  <c r="V102" i="48"/>
  <c r="W39" i="48"/>
  <c r="T81" i="48"/>
  <c r="S82" i="48"/>
  <c r="T61" i="22"/>
  <c r="E82" i="22"/>
  <c r="E93" i="22"/>
  <c r="U79" i="22"/>
  <c r="U54" i="22"/>
  <c r="U68" i="22" s="1"/>
  <c r="V53" i="22"/>
  <c r="U16" i="22"/>
  <c r="U60" i="22"/>
  <c r="U62" i="22" s="1"/>
  <c r="F102" i="22"/>
  <c r="F103" i="22" s="1"/>
  <c r="F41" i="22"/>
  <c r="F91" i="22" s="1"/>
  <c r="F92" i="22" s="1"/>
  <c r="F40" i="22"/>
  <c r="F80" i="22" s="1"/>
  <c r="F81" i="22" s="1"/>
  <c r="U23" i="22"/>
  <c r="X22" i="22"/>
  <c r="Y20" i="22"/>
  <c r="W49" i="22"/>
  <c r="W59" i="22" s="1"/>
  <c r="V11" i="22"/>
  <c r="V14" i="22" s="1"/>
  <c r="V23" i="22" s="1"/>
  <c r="W7" i="22"/>
  <c r="S101" i="22"/>
  <c r="S64" i="22"/>
  <c r="S90" i="22" s="1"/>
  <c r="T79" i="22"/>
  <c r="T54" i="22"/>
  <c r="T68" i="22" s="1"/>
  <c r="W46" i="22"/>
  <c r="X9" i="22"/>
  <c r="W10" i="22"/>
  <c r="E104" i="22"/>
  <c r="V51" i="22"/>
  <c r="V50" i="22"/>
  <c r="T101" i="22"/>
  <c r="T64" i="22"/>
  <c r="T90" i="22" s="1"/>
  <c r="G38" i="22"/>
  <c r="G39" i="22" s="1"/>
  <c r="S71" i="22"/>
  <c r="H73" i="22"/>
  <c r="H74" i="22" s="1"/>
  <c r="H76" i="22" s="1"/>
  <c r="G87" i="19"/>
  <c r="B95" i="19"/>
  <c r="C68" i="19" s="1"/>
  <c r="C70" i="19" s="1"/>
  <c r="G15" i="17"/>
  <c r="B32" i="17"/>
  <c r="J44" i="17"/>
  <c r="E14" i="17"/>
  <c r="D16" i="17"/>
  <c r="D20" i="17" s="1"/>
  <c r="J45" i="17"/>
  <c r="C31" i="16"/>
  <c r="D29" i="16"/>
  <c r="G22" i="16"/>
  <c r="B26" i="16"/>
  <c r="K95" i="47" l="1"/>
  <c r="K95" i="46"/>
  <c r="X102" i="46"/>
  <c r="Y39" i="46"/>
  <c r="J94" i="46"/>
  <c r="J96" i="46" s="1"/>
  <c r="J98" i="46" s="1"/>
  <c r="X80" i="46"/>
  <c r="Y40" i="46"/>
  <c r="V92" i="46"/>
  <c r="U93" i="46"/>
  <c r="K94" i="46" s="1"/>
  <c r="K96" i="46" s="1"/>
  <c r="K98" i="46" s="1"/>
  <c r="W103" i="46"/>
  <c r="W104" i="46" s="1"/>
  <c r="M105" i="46" s="1"/>
  <c r="L106" i="46"/>
  <c r="L107" i="46" s="1"/>
  <c r="L109" i="46" s="1"/>
  <c r="V81" i="46"/>
  <c r="L84" i="46" s="1"/>
  <c r="U82" i="46"/>
  <c r="K83" i="46" s="1"/>
  <c r="K85" i="46" s="1"/>
  <c r="K87" i="46" s="1"/>
  <c r="W91" i="46"/>
  <c r="L95" i="46" s="1"/>
  <c r="X41" i="46"/>
  <c r="W80" i="47"/>
  <c r="X40" i="47"/>
  <c r="V81" i="47"/>
  <c r="U82" i="47"/>
  <c r="K83" i="47" s="1"/>
  <c r="V92" i="47"/>
  <c r="U93" i="47"/>
  <c r="K94" i="47" s="1"/>
  <c r="K96" i="47" s="1"/>
  <c r="K98" i="47" s="1"/>
  <c r="K84" i="47"/>
  <c r="X102" i="47"/>
  <c r="Y39" i="47"/>
  <c r="W91" i="47"/>
  <c r="L95" i="47" s="1"/>
  <c r="X41" i="47"/>
  <c r="J83" i="47"/>
  <c r="J85" i="47" s="1"/>
  <c r="J87" i="47" s="1"/>
  <c r="J94" i="47"/>
  <c r="J96" i="47" s="1"/>
  <c r="J98" i="47" s="1"/>
  <c r="W103" i="47"/>
  <c r="W104" i="47" s="1"/>
  <c r="M105" i="47" s="1"/>
  <c r="L106" i="47"/>
  <c r="L107" i="47" s="1"/>
  <c r="L109" i="47" s="1"/>
  <c r="K107" i="47"/>
  <c r="K109" i="47" s="1"/>
  <c r="U92" i="48"/>
  <c r="T93" i="48"/>
  <c r="V91" i="48"/>
  <c r="K95" i="48" s="1"/>
  <c r="W41" i="48"/>
  <c r="U81" i="48"/>
  <c r="T82" i="48"/>
  <c r="J83" i="48" s="1"/>
  <c r="J107" i="48"/>
  <c r="J109" i="48" s="1"/>
  <c r="W102" i="48"/>
  <c r="X39" i="48"/>
  <c r="J95" i="48"/>
  <c r="V80" i="48"/>
  <c r="W40" i="48"/>
  <c r="I83" i="48"/>
  <c r="I85" i="48" s="1"/>
  <c r="I87" i="48" s="1"/>
  <c r="V103" i="48"/>
  <c r="V104" i="48" s="1"/>
  <c r="L105" i="48" s="1"/>
  <c r="K106" i="48"/>
  <c r="K107" i="48" s="1"/>
  <c r="K109" i="48" s="1"/>
  <c r="I94" i="48"/>
  <c r="I96" i="48" s="1"/>
  <c r="I98" i="48" s="1"/>
  <c r="J84" i="48"/>
  <c r="V52" i="22"/>
  <c r="V79" i="22" s="1"/>
  <c r="F82" i="22"/>
  <c r="V60" i="22"/>
  <c r="V62" i="22" s="1"/>
  <c r="W53" i="22"/>
  <c r="V16" i="22"/>
  <c r="W51" i="22"/>
  <c r="W50" i="22"/>
  <c r="T71" i="22"/>
  <c r="J72" i="22" s="1"/>
  <c r="I73" i="22"/>
  <c r="Y22" i="22"/>
  <c r="Z20" i="22"/>
  <c r="F104" i="22"/>
  <c r="H38" i="22"/>
  <c r="H39" i="22" s="1"/>
  <c r="X7" i="22"/>
  <c r="X49" i="22" s="1"/>
  <c r="X59" i="22" s="1"/>
  <c r="W11" i="22"/>
  <c r="W14" i="22" s="1"/>
  <c r="W23" i="22" s="1"/>
  <c r="I72" i="22"/>
  <c r="I74" i="22" s="1"/>
  <c r="I76" i="22" s="1"/>
  <c r="Y9" i="22"/>
  <c r="X10" i="22"/>
  <c r="X46" i="22"/>
  <c r="V63" i="22"/>
  <c r="V24" i="22"/>
  <c r="V26" i="22" s="1"/>
  <c r="V56" i="22" s="1"/>
  <c r="F93" i="22"/>
  <c r="G102" i="22"/>
  <c r="G103" i="22" s="1"/>
  <c r="G40" i="22"/>
  <c r="G80" i="22" s="1"/>
  <c r="G81" i="22" s="1"/>
  <c r="G41" i="22"/>
  <c r="G91" i="22" s="1"/>
  <c r="G92" i="22" s="1"/>
  <c r="U63" i="22"/>
  <c r="U24" i="22"/>
  <c r="U26" i="22" s="1"/>
  <c r="U56" i="22" s="1"/>
  <c r="U61" i="22" s="1"/>
  <c r="U71" i="22"/>
  <c r="J73" i="22"/>
  <c r="P47" i="19"/>
  <c r="F14" i="17"/>
  <c r="E16" i="17"/>
  <c r="E20" i="17" s="1"/>
  <c r="E22" i="17" s="1"/>
  <c r="D22" i="17"/>
  <c r="D31" i="16"/>
  <c r="E29" i="16"/>
  <c r="C26" i="16"/>
  <c r="B28" i="16"/>
  <c r="L84" i="47" l="1"/>
  <c r="K85" i="47"/>
  <c r="K87" i="47" s="1"/>
  <c r="W92" i="46"/>
  <c r="V93" i="46"/>
  <c r="W81" i="46"/>
  <c r="V82" i="46"/>
  <c r="L83" i="46" s="1"/>
  <c r="L85" i="46" s="1"/>
  <c r="L87" i="46" s="1"/>
  <c r="Y80" i="46"/>
  <c r="Z40" i="46"/>
  <c r="X91" i="46"/>
  <c r="Y41" i="46"/>
  <c r="Y102" i="46"/>
  <c r="Z39" i="46"/>
  <c r="X103" i="46"/>
  <c r="X104" i="46" s="1"/>
  <c r="N105" i="46" s="1"/>
  <c r="M106" i="46"/>
  <c r="M107" i="46" s="1"/>
  <c r="M109" i="46" s="1"/>
  <c r="W81" i="47"/>
  <c r="V82" i="47"/>
  <c r="L83" i="47" s="1"/>
  <c r="L85" i="47" s="1"/>
  <c r="L87" i="47" s="1"/>
  <c r="X91" i="47"/>
  <c r="Y41" i="47"/>
  <c r="Y102" i="47"/>
  <c r="Z39" i="47"/>
  <c r="X80" i="47"/>
  <c r="M84" i="47" s="1"/>
  <c r="Y40" i="47"/>
  <c r="X103" i="47"/>
  <c r="X104" i="47" s="1"/>
  <c r="N105" i="47" s="1"/>
  <c r="M106" i="47"/>
  <c r="M107" i="47" s="1"/>
  <c r="M109" i="47" s="1"/>
  <c r="W92" i="47"/>
  <c r="V93" i="47"/>
  <c r="X102" i="48"/>
  <c r="Y39" i="48"/>
  <c r="J85" i="48"/>
  <c r="J87" i="48" s="1"/>
  <c r="J94" i="48"/>
  <c r="J96" i="48" s="1"/>
  <c r="J98" i="48" s="1"/>
  <c r="W80" i="48"/>
  <c r="X40" i="48"/>
  <c r="W103" i="48"/>
  <c r="W104" i="48" s="1"/>
  <c r="M105" i="48" s="1"/>
  <c r="L106" i="48"/>
  <c r="L107" i="48" s="1"/>
  <c r="L109" i="48" s="1"/>
  <c r="V81" i="48"/>
  <c r="U82" i="48"/>
  <c r="K83" i="48" s="1"/>
  <c r="V92" i="48"/>
  <c r="U93" i="48"/>
  <c r="K84" i="48"/>
  <c r="W91" i="48"/>
  <c r="X41" i="48"/>
  <c r="V61" i="22"/>
  <c r="V54" i="22"/>
  <c r="V68" i="22" s="1"/>
  <c r="K73" i="22" s="1"/>
  <c r="J74" i="22"/>
  <c r="J76" i="22" s="1"/>
  <c r="J38" i="22" s="1"/>
  <c r="J39" i="22" s="1"/>
  <c r="K72" i="22"/>
  <c r="W52" i="22"/>
  <c r="W79" i="22" s="1"/>
  <c r="G104" i="22"/>
  <c r="G93" i="22"/>
  <c r="W63" i="22"/>
  <c r="W24" i="22"/>
  <c r="W26" i="22" s="1"/>
  <c r="W56" i="22" s="1"/>
  <c r="U101" i="22"/>
  <c r="U64" i="22"/>
  <c r="U90" i="22" s="1"/>
  <c r="I38" i="22"/>
  <c r="I39" i="22" s="1"/>
  <c r="H102" i="22"/>
  <c r="H103" i="22" s="1"/>
  <c r="H41" i="22"/>
  <c r="H91" i="22" s="1"/>
  <c r="H92" i="22" s="1"/>
  <c r="H40" i="22"/>
  <c r="H80" i="22" s="1"/>
  <c r="H81" i="22" s="1"/>
  <c r="X51" i="22"/>
  <c r="X50" i="22"/>
  <c r="W54" i="22"/>
  <c r="W68" i="22" s="1"/>
  <c r="Y10" i="22"/>
  <c r="Z9" i="22"/>
  <c r="Y46" i="22"/>
  <c r="W60" i="22"/>
  <c r="W62" i="22" s="1"/>
  <c r="X53" i="22"/>
  <c r="W16" i="22"/>
  <c r="G82" i="22"/>
  <c r="V64" i="22"/>
  <c r="V90" i="22" s="1"/>
  <c r="V101" i="22"/>
  <c r="X11" i="22"/>
  <c r="X14" i="22" s="1"/>
  <c r="Y7" i="22"/>
  <c r="Y49" i="22" s="1"/>
  <c r="Y59" i="22" s="1"/>
  <c r="Z22" i="22"/>
  <c r="AA20" i="22"/>
  <c r="AA22" i="22" s="1"/>
  <c r="G14" i="17"/>
  <c r="G16" i="17" s="1"/>
  <c r="G20" i="17" s="1"/>
  <c r="G22" i="17" s="1"/>
  <c r="F16" i="17"/>
  <c r="F20" i="17" s="1"/>
  <c r="F22" i="17" s="1"/>
  <c r="E31" i="16"/>
  <c r="F29" i="16"/>
  <c r="C28" i="16"/>
  <c r="C32" i="16" s="1"/>
  <c r="D26" i="16"/>
  <c r="B32" i="16"/>
  <c r="Y91" i="46" l="1"/>
  <c r="Z41" i="46"/>
  <c r="Z102" i="46"/>
  <c r="Z103" i="46" s="1"/>
  <c r="Z104" i="46" s="1"/>
  <c r="AA39" i="46"/>
  <c r="AA102" i="46" s="1"/>
  <c r="AA103" i="46" s="1"/>
  <c r="AA104" i="46" s="1"/>
  <c r="Y103" i="46"/>
  <c r="Y104" i="46" s="1"/>
  <c r="N106" i="46"/>
  <c r="N107" i="46" s="1"/>
  <c r="N109" i="46" s="1"/>
  <c r="Z80" i="46"/>
  <c r="AA40" i="46"/>
  <c r="AA80" i="46" s="1"/>
  <c r="M95" i="46"/>
  <c r="X81" i="46"/>
  <c r="W82" i="46"/>
  <c r="M83" i="46" s="1"/>
  <c r="M84" i="46"/>
  <c r="N84" i="46"/>
  <c r="L94" i="46"/>
  <c r="L96" i="46" s="1"/>
  <c r="L98" i="46" s="1"/>
  <c r="X92" i="46"/>
  <c r="W93" i="46"/>
  <c r="X92" i="47"/>
  <c r="W93" i="47"/>
  <c r="M94" i="47" s="1"/>
  <c r="Y80" i="47"/>
  <c r="Z40" i="47"/>
  <c r="Y91" i="47"/>
  <c r="N95" i="47" s="1"/>
  <c r="Z41" i="47"/>
  <c r="M95" i="47"/>
  <c r="Z102" i="47"/>
  <c r="Z103" i="47" s="1"/>
  <c r="Z104" i="47" s="1"/>
  <c r="AA39" i="47"/>
  <c r="AA102" i="47" s="1"/>
  <c r="AA103" i="47" s="1"/>
  <c r="AA104" i="47" s="1"/>
  <c r="L94" i="47"/>
  <c r="L96" i="47" s="1"/>
  <c r="L98" i="47" s="1"/>
  <c r="Y103" i="47"/>
  <c r="Y104" i="47" s="1"/>
  <c r="N106" i="47"/>
  <c r="N107" i="47" s="1"/>
  <c r="N109" i="47" s="1"/>
  <c r="X81" i="47"/>
  <c r="W82" i="47"/>
  <c r="M83" i="47" s="1"/>
  <c r="M85" i="47" s="1"/>
  <c r="M87" i="47" s="1"/>
  <c r="L95" i="48"/>
  <c r="K85" i="48"/>
  <c r="K87" i="48" s="1"/>
  <c r="X80" i="48"/>
  <c r="Y40" i="48"/>
  <c r="W81" i="48"/>
  <c r="V82" i="48"/>
  <c r="L83" i="48" s="1"/>
  <c r="L84" i="48"/>
  <c r="K94" i="48"/>
  <c r="K96" i="48" s="1"/>
  <c r="K98" i="48" s="1"/>
  <c r="Y102" i="48"/>
  <c r="Z39" i="48"/>
  <c r="X91" i="48"/>
  <c r="Y41" i="48"/>
  <c r="W92" i="48"/>
  <c r="V93" i="48"/>
  <c r="L94" i="48" s="1"/>
  <c r="X103" i="48"/>
  <c r="X104" i="48" s="1"/>
  <c r="N105" i="48" s="1"/>
  <c r="M106" i="48"/>
  <c r="M107" i="48" s="1"/>
  <c r="M109" i="48" s="1"/>
  <c r="K74" i="22"/>
  <c r="K76" i="22" s="1"/>
  <c r="J102" i="22"/>
  <c r="J40" i="22"/>
  <c r="J80" i="22" s="1"/>
  <c r="V71" i="22"/>
  <c r="L72" i="22" s="1"/>
  <c r="K38" i="22"/>
  <c r="K39" i="22" s="1"/>
  <c r="H104" i="22"/>
  <c r="H82" i="22"/>
  <c r="Y51" i="22"/>
  <c r="Y50" i="22"/>
  <c r="I102" i="22"/>
  <c r="I103" i="22" s="1"/>
  <c r="I40" i="22"/>
  <c r="I80" i="22" s="1"/>
  <c r="I81" i="22" s="1"/>
  <c r="I41" i="22"/>
  <c r="I91" i="22" s="1"/>
  <c r="I92" i="22" s="1"/>
  <c r="X60" i="22"/>
  <c r="X62" i="22" s="1"/>
  <c r="Y53" i="22"/>
  <c r="X16" i="22"/>
  <c r="L73" i="22"/>
  <c r="W71" i="22"/>
  <c r="X52" i="22"/>
  <c r="Y11" i="22"/>
  <c r="Y14" i="22" s="1"/>
  <c r="Z7" i="22"/>
  <c r="Z49" i="22" s="1"/>
  <c r="Z59" i="22" s="1"/>
  <c r="H93" i="22"/>
  <c r="Z46" i="22"/>
  <c r="AA46" i="22"/>
  <c r="AA9" i="22"/>
  <c r="AA10" i="22" s="1"/>
  <c r="Z10" i="22"/>
  <c r="X23" i="22"/>
  <c r="J41" i="22"/>
  <c r="J91" i="22" s="1"/>
  <c r="W61" i="22"/>
  <c r="B30" i="17"/>
  <c r="B37" i="17" s="1"/>
  <c r="G29" i="16"/>
  <c r="G31" i="16" s="1"/>
  <c r="F31" i="16"/>
  <c r="E26" i="16"/>
  <c r="D28" i="16"/>
  <c r="D32" i="16" s="1"/>
  <c r="M96" i="47" l="1"/>
  <c r="M98" i="47" s="1"/>
  <c r="N95" i="46"/>
  <c r="M94" i="46"/>
  <c r="M96" i="46" s="1"/>
  <c r="M98" i="46" s="1"/>
  <c r="Y92" i="46"/>
  <c r="X93" i="46"/>
  <c r="N94" i="46" s="1"/>
  <c r="N96" i="46" s="1"/>
  <c r="N98" i="46" s="1"/>
  <c r="M85" i="46"/>
  <c r="M87" i="46" s="1"/>
  <c r="Y81" i="46"/>
  <c r="X82" i="46"/>
  <c r="N83" i="46" s="1"/>
  <c r="N85" i="46" s="1"/>
  <c r="N87" i="46" s="1"/>
  <c r="Z91" i="46"/>
  <c r="O95" i="46" s="1"/>
  <c r="AA41" i="46"/>
  <c r="AA91" i="46" s="1"/>
  <c r="Z80" i="47"/>
  <c r="AA40" i="47"/>
  <c r="AA80" i="47" s="1"/>
  <c r="Y81" i="47"/>
  <c r="X82" i="47"/>
  <c r="N83" i="47" s="1"/>
  <c r="N84" i="47"/>
  <c r="Z91" i="47"/>
  <c r="AA41" i="47"/>
  <c r="AA91" i="47" s="1"/>
  <c r="Y92" i="47"/>
  <c r="X93" i="47"/>
  <c r="M84" i="48"/>
  <c r="L96" i="48"/>
  <c r="L98" i="48" s="1"/>
  <c r="L85" i="48"/>
  <c r="L87" i="48" s="1"/>
  <c r="Y91" i="48"/>
  <c r="Z41" i="48"/>
  <c r="X81" i="48"/>
  <c r="W82" i="48"/>
  <c r="M83" i="48" s="1"/>
  <c r="X92" i="48"/>
  <c r="W93" i="48"/>
  <c r="M94" i="48" s="1"/>
  <c r="M95" i="48"/>
  <c r="Y80" i="48"/>
  <c r="N84" i="48" s="1"/>
  <c r="Z40" i="48"/>
  <c r="Y103" i="48"/>
  <c r="Y104" i="48" s="1"/>
  <c r="N106" i="48"/>
  <c r="N107" i="48" s="1"/>
  <c r="N109" i="48" s="1"/>
  <c r="Z102" i="48"/>
  <c r="Z103" i="48" s="1"/>
  <c r="Z104" i="48" s="1"/>
  <c r="AA39" i="48"/>
  <c r="AA102" i="48" s="1"/>
  <c r="AA103" i="48" s="1"/>
  <c r="AA104" i="48" s="1"/>
  <c r="B40" i="16"/>
  <c r="L74" i="22"/>
  <c r="L76" i="22" s="1"/>
  <c r="L38" i="22" s="1"/>
  <c r="L39" i="22" s="1"/>
  <c r="J103" i="22"/>
  <c r="I104" i="22"/>
  <c r="J81" i="22"/>
  <c r="I82" i="22"/>
  <c r="X63" i="22"/>
  <c r="X24" i="22"/>
  <c r="X26" i="22" s="1"/>
  <c r="X56" i="22" s="1"/>
  <c r="X61" i="22" s="1"/>
  <c r="W64" i="22"/>
  <c r="W90" i="22" s="1"/>
  <c r="W101" i="22"/>
  <c r="Z53" i="22"/>
  <c r="Y60" i="22"/>
  <c r="Y62" i="22" s="1"/>
  <c r="Y16" i="22"/>
  <c r="K102" i="22"/>
  <c r="K41" i="22"/>
  <c r="K91" i="22" s="1"/>
  <c r="K40" i="22"/>
  <c r="K80" i="22" s="1"/>
  <c r="Y52" i="22"/>
  <c r="J92" i="22"/>
  <c r="I93" i="22"/>
  <c r="Z51" i="22"/>
  <c r="Z50" i="22"/>
  <c r="Z11" i="22"/>
  <c r="Z14" i="22" s="1"/>
  <c r="Z23" i="22" s="1"/>
  <c r="AA7" i="22"/>
  <c r="AA11" i="22" s="1"/>
  <c r="AA14" i="22" s="1"/>
  <c r="M72" i="22"/>
  <c r="AA51" i="22"/>
  <c r="X54" i="22"/>
  <c r="X68" i="22" s="1"/>
  <c r="X79" i="22"/>
  <c r="Y23" i="22"/>
  <c r="E28" i="16"/>
  <c r="E32" i="16" s="1"/>
  <c r="F26" i="16"/>
  <c r="N85" i="47" l="1"/>
  <c r="N87" i="47" s="1"/>
  <c r="M85" i="48"/>
  <c r="M87" i="48" s="1"/>
  <c r="Z92" i="46"/>
  <c r="Y93" i="46"/>
  <c r="O94" i="46" s="1"/>
  <c r="O96" i="46" s="1"/>
  <c r="O98" i="46" s="1"/>
  <c r="Z81" i="46"/>
  <c r="Y82" i="46"/>
  <c r="P95" i="46"/>
  <c r="Z81" i="47"/>
  <c r="Y82" i="47"/>
  <c r="O95" i="47"/>
  <c r="Z92" i="47"/>
  <c r="Y93" i="47"/>
  <c r="O94" i="47" s="1"/>
  <c r="N94" i="47"/>
  <c r="N96" i="47" s="1"/>
  <c r="N98" i="47" s="1"/>
  <c r="M96" i="48"/>
  <c r="M98" i="48" s="1"/>
  <c r="N95" i="48"/>
  <c r="Z80" i="48"/>
  <c r="AA40" i="48"/>
  <c r="AA80" i="48" s="1"/>
  <c r="Y92" i="48"/>
  <c r="X93" i="48"/>
  <c r="N94" i="48" s="1"/>
  <c r="N96" i="48" s="1"/>
  <c r="N98" i="48" s="1"/>
  <c r="Z91" i="48"/>
  <c r="AA41" i="48"/>
  <c r="AA91" i="48" s="1"/>
  <c r="Y81" i="48"/>
  <c r="X82" i="48"/>
  <c r="N83" i="48" s="1"/>
  <c r="N85" i="48" s="1"/>
  <c r="N87" i="48" s="1"/>
  <c r="AA49" i="22"/>
  <c r="AA59" i="22" s="1"/>
  <c r="Z52" i="22"/>
  <c r="Z79" i="22" s="1"/>
  <c r="Z63" i="22"/>
  <c r="Z24" i="22"/>
  <c r="Z26" i="22" s="1"/>
  <c r="Z56" i="22" s="1"/>
  <c r="Y63" i="22"/>
  <c r="Y24" i="22"/>
  <c r="Y26" i="22" s="1"/>
  <c r="Y56" i="22" s="1"/>
  <c r="Y61" i="22" s="1"/>
  <c r="L102" i="22"/>
  <c r="L40" i="22"/>
  <c r="L80" i="22" s="1"/>
  <c r="L41" i="22"/>
  <c r="L91" i="22" s="1"/>
  <c r="M73" i="22"/>
  <c r="M74" i="22" s="1"/>
  <c r="M76" i="22" s="1"/>
  <c r="X71" i="22"/>
  <c r="N72" i="22" s="1"/>
  <c r="AA16" i="22"/>
  <c r="AA60" i="22"/>
  <c r="AA62" i="22" s="1"/>
  <c r="AA50" i="22"/>
  <c r="AA52" i="22" s="1"/>
  <c r="Z16" i="22"/>
  <c r="Z60" i="22"/>
  <c r="Z62" i="22" s="1"/>
  <c r="AA23" i="22"/>
  <c r="AA53" i="22"/>
  <c r="X64" i="22"/>
  <c r="X90" i="22" s="1"/>
  <c r="X101" i="22"/>
  <c r="K103" i="22"/>
  <c r="J104" i="22"/>
  <c r="K92" i="22"/>
  <c r="J93" i="22"/>
  <c r="Y79" i="22"/>
  <c r="Y54" i="22"/>
  <c r="Y68" i="22" s="1"/>
  <c r="K81" i="22"/>
  <c r="J82" i="22"/>
  <c r="F28" i="16"/>
  <c r="F32" i="16" s="1"/>
  <c r="G26" i="16"/>
  <c r="G28" i="16" s="1"/>
  <c r="G32" i="16" s="1"/>
  <c r="O95" i="48" l="1"/>
  <c r="O96" i="47"/>
  <c r="O98" i="47" s="1"/>
  <c r="AA81" i="46"/>
  <c r="Z82" i="46"/>
  <c r="AA92" i="46"/>
  <c r="Z93" i="46"/>
  <c r="P94" i="46" s="1"/>
  <c r="P96" i="46" s="1"/>
  <c r="P98" i="46" s="1"/>
  <c r="AA81" i="47"/>
  <c r="Z82" i="47"/>
  <c r="AA92" i="47"/>
  <c r="Z93" i="47"/>
  <c r="P94" i="47" s="1"/>
  <c r="P95" i="47"/>
  <c r="Z81" i="48"/>
  <c r="Y82" i="48"/>
  <c r="Z92" i="48"/>
  <c r="P95" i="48" s="1"/>
  <c r="Y93" i="48"/>
  <c r="O94" i="48" s="1"/>
  <c r="O96" i="48" s="1"/>
  <c r="O98" i="48" s="1"/>
  <c r="B41" i="16"/>
  <c r="Z54" i="22"/>
  <c r="Z68" i="22" s="1"/>
  <c r="Z71" i="22" s="1"/>
  <c r="M38" i="22"/>
  <c r="M39" i="22" s="1"/>
  <c r="L103" i="22"/>
  <c r="K104" i="22"/>
  <c r="Z61" i="22"/>
  <c r="L81" i="22"/>
  <c r="K82" i="22"/>
  <c r="Y64" i="22"/>
  <c r="Y90" i="22" s="1"/>
  <c r="Y101" i="22"/>
  <c r="AA63" i="22"/>
  <c r="AA24" i="22"/>
  <c r="AA26" i="22" s="1"/>
  <c r="AA56" i="22" s="1"/>
  <c r="AA61" i="22" s="1"/>
  <c r="L92" i="22"/>
  <c r="K93" i="22"/>
  <c r="N73" i="22"/>
  <c r="N74" i="22" s="1"/>
  <c r="N76" i="22" s="1"/>
  <c r="Y71" i="22"/>
  <c r="O72" i="22" s="1"/>
  <c r="AA54" i="22"/>
  <c r="AA68" i="22" s="1"/>
  <c r="AA79" i="22"/>
  <c r="B39" i="16"/>
  <c r="P96" i="47" l="1"/>
  <c r="P98" i="47" s="1"/>
  <c r="AB92" i="46"/>
  <c r="AB93" i="46" s="1"/>
  <c r="AA93" i="46"/>
  <c r="Q94" i="46" s="1"/>
  <c r="Q95" i="46"/>
  <c r="AB81" i="46"/>
  <c r="AB82" i="46" s="1"/>
  <c r="AA82" i="46"/>
  <c r="AB92" i="47"/>
  <c r="AB93" i="47" s="1"/>
  <c r="AA93" i="47"/>
  <c r="Q94" i="47" s="1"/>
  <c r="Q95" i="47"/>
  <c r="AB81" i="47"/>
  <c r="AB82" i="47" s="1"/>
  <c r="AA82" i="47"/>
  <c r="AA92" i="48"/>
  <c r="Z93" i="48"/>
  <c r="P94" i="48" s="1"/>
  <c r="P96" i="48" s="1"/>
  <c r="P98" i="48" s="1"/>
  <c r="AA81" i="48"/>
  <c r="Z82" i="48"/>
  <c r="P72" i="22"/>
  <c r="O73" i="22"/>
  <c r="L93" i="22"/>
  <c r="N38" i="22"/>
  <c r="N39" i="22" s="1"/>
  <c r="AA101" i="22"/>
  <c r="AA104" i="22" s="1"/>
  <c r="AA64" i="22"/>
  <c r="AA90" i="22" s="1"/>
  <c r="Z64" i="22"/>
  <c r="Z90" i="22" s="1"/>
  <c r="Z101" i="22"/>
  <c r="L82" i="22"/>
  <c r="AA71" i="22"/>
  <c r="P73" i="22"/>
  <c r="P74" i="22" s="1"/>
  <c r="P76" i="22" s="1"/>
  <c r="P38" i="22" s="1"/>
  <c r="L104" i="22"/>
  <c r="O74" i="22"/>
  <c r="O76" i="22" s="1"/>
  <c r="M102" i="22"/>
  <c r="M103" i="22" s="1"/>
  <c r="M40" i="22"/>
  <c r="M80" i="22" s="1"/>
  <c r="M81" i="22" s="1"/>
  <c r="M41" i="22"/>
  <c r="M91" i="22" s="1"/>
  <c r="M92" i="22" s="1"/>
  <c r="AB102" i="21"/>
  <c r="D101" i="21"/>
  <c r="I100" i="21"/>
  <c r="J100" i="21" s="1"/>
  <c r="K100" i="21" s="1"/>
  <c r="L100" i="21" s="1"/>
  <c r="M100" i="21" s="1"/>
  <c r="N100" i="21" s="1"/>
  <c r="O100" i="21" s="1"/>
  <c r="P100" i="21" s="1"/>
  <c r="Q100" i="21" s="1"/>
  <c r="R100" i="21" s="1"/>
  <c r="S100" i="21" s="1"/>
  <c r="T100" i="21" s="1"/>
  <c r="U100" i="21" s="1"/>
  <c r="V100" i="21" s="1"/>
  <c r="W100" i="21" s="1"/>
  <c r="X100" i="21" s="1"/>
  <c r="Y100" i="21" s="1"/>
  <c r="Z100" i="21" s="1"/>
  <c r="AA100" i="21" s="1"/>
  <c r="AB100" i="21" s="1"/>
  <c r="F100" i="21"/>
  <c r="G100" i="21" s="1"/>
  <c r="H100" i="21" s="1"/>
  <c r="D97" i="21"/>
  <c r="D92" i="21"/>
  <c r="AB91" i="21"/>
  <c r="D90" i="21"/>
  <c r="F89" i="21"/>
  <c r="G89" i="21" s="1"/>
  <c r="H89" i="21" s="1"/>
  <c r="I89" i="21" s="1"/>
  <c r="J89" i="21" s="1"/>
  <c r="K89" i="21" s="1"/>
  <c r="L89" i="21" s="1"/>
  <c r="M89" i="21" s="1"/>
  <c r="N89" i="21" s="1"/>
  <c r="O89" i="21" s="1"/>
  <c r="P89" i="21" s="1"/>
  <c r="Q89" i="21" s="1"/>
  <c r="R89" i="21" s="1"/>
  <c r="S89" i="21" s="1"/>
  <c r="T89" i="21" s="1"/>
  <c r="U89" i="21" s="1"/>
  <c r="V89" i="21" s="1"/>
  <c r="W89" i="21" s="1"/>
  <c r="X89" i="21" s="1"/>
  <c r="Y89" i="21" s="1"/>
  <c r="Z89" i="21" s="1"/>
  <c r="AA89" i="21" s="1"/>
  <c r="AB89" i="21" s="1"/>
  <c r="D86" i="21"/>
  <c r="AB80" i="21"/>
  <c r="D80" i="21"/>
  <c r="D81" i="21" s="1"/>
  <c r="D79" i="21"/>
  <c r="D82" i="21" s="1"/>
  <c r="F78" i="21"/>
  <c r="G78" i="21" s="1"/>
  <c r="H78" i="21" s="1"/>
  <c r="I78" i="21" s="1"/>
  <c r="J78" i="21" s="1"/>
  <c r="K78" i="21" s="1"/>
  <c r="L78" i="21" s="1"/>
  <c r="M78" i="21" s="1"/>
  <c r="N78" i="21" s="1"/>
  <c r="O78" i="21" s="1"/>
  <c r="P78" i="21" s="1"/>
  <c r="Q78" i="21" s="1"/>
  <c r="R78" i="21" s="1"/>
  <c r="S78" i="21" s="1"/>
  <c r="T78" i="21" s="1"/>
  <c r="U78" i="21" s="1"/>
  <c r="V78" i="21" s="1"/>
  <c r="W78" i="21" s="1"/>
  <c r="X78" i="21" s="1"/>
  <c r="Y78" i="21" s="1"/>
  <c r="Z78" i="21" s="1"/>
  <c r="AA78" i="21" s="1"/>
  <c r="AB78" i="21" s="1"/>
  <c r="D75" i="21"/>
  <c r="I69" i="21"/>
  <c r="D68" i="21"/>
  <c r="F67" i="21"/>
  <c r="G67" i="21" s="1"/>
  <c r="H67" i="21" s="1"/>
  <c r="I67" i="21" s="1"/>
  <c r="J67" i="21" s="1"/>
  <c r="K67" i="21" s="1"/>
  <c r="L67" i="21" s="1"/>
  <c r="M67" i="21" s="1"/>
  <c r="N67" i="21" s="1"/>
  <c r="O67" i="21" s="1"/>
  <c r="P67" i="21" s="1"/>
  <c r="Q67" i="21" s="1"/>
  <c r="R67" i="21" s="1"/>
  <c r="S67" i="21" s="1"/>
  <c r="T67" i="21" s="1"/>
  <c r="U67" i="21" s="1"/>
  <c r="V67" i="21" s="1"/>
  <c r="W67" i="21" s="1"/>
  <c r="X67" i="21" s="1"/>
  <c r="Y67" i="21" s="1"/>
  <c r="Z67" i="21" s="1"/>
  <c r="AA67" i="21" s="1"/>
  <c r="AB67" i="21" s="1"/>
  <c r="N58" i="21"/>
  <c r="M58" i="21"/>
  <c r="L58" i="21"/>
  <c r="K58" i="21"/>
  <c r="J58" i="21"/>
  <c r="I58" i="21"/>
  <c r="H58" i="21"/>
  <c r="G58" i="21"/>
  <c r="F58" i="21"/>
  <c r="E58" i="21"/>
  <c r="M57" i="21"/>
  <c r="L57" i="21"/>
  <c r="K57" i="21"/>
  <c r="J57" i="21"/>
  <c r="I57" i="21"/>
  <c r="H57" i="21"/>
  <c r="G57" i="21"/>
  <c r="F57" i="21"/>
  <c r="E57" i="21"/>
  <c r="E49" i="21"/>
  <c r="E59" i="21" s="1"/>
  <c r="N48" i="21"/>
  <c r="M48" i="21"/>
  <c r="L48" i="21"/>
  <c r="K48" i="21"/>
  <c r="J48" i="21"/>
  <c r="I48" i="21"/>
  <c r="H48" i="21"/>
  <c r="G48" i="21"/>
  <c r="F48" i="21"/>
  <c r="E48" i="21"/>
  <c r="M47" i="21"/>
  <c r="L47" i="21"/>
  <c r="K47" i="21"/>
  <c r="J47" i="21"/>
  <c r="I47" i="21"/>
  <c r="H47" i="21"/>
  <c r="G47" i="21"/>
  <c r="F47" i="21"/>
  <c r="E47" i="21"/>
  <c r="F44" i="21"/>
  <c r="G44" i="21" s="1"/>
  <c r="H44" i="21" s="1"/>
  <c r="I44" i="21" s="1"/>
  <c r="J44" i="21" s="1"/>
  <c r="K44" i="21" s="1"/>
  <c r="L44" i="21" s="1"/>
  <c r="M44" i="21" s="1"/>
  <c r="N44" i="21" s="1"/>
  <c r="O44" i="21" s="1"/>
  <c r="P44" i="21" s="1"/>
  <c r="Q44" i="21" s="1"/>
  <c r="R44" i="21" s="1"/>
  <c r="S44" i="21" s="1"/>
  <c r="T44" i="21" s="1"/>
  <c r="U44" i="21" s="1"/>
  <c r="V44" i="21" s="1"/>
  <c r="W44" i="21" s="1"/>
  <c r="X44" i="21" s="1"/>
  <c r="Y44" i="21" s="1"/>
  <c r="Z44" i="21" s="1"/>
  <c r="AA44" i="21" s="1"/>
  <c r="AB44" i="21" s="1"/>
  <c r="AB37" i="21"/>
  <c r="AB69" i="21" s="1"/>
  <c r="Q37" i="21"/>
  <c r="Q69" i="21" s="1"/>
  <c r="P37" i="21"/>
  <c r="P69" i="21" s="1"/>
  <c r="O37" i="21"/>
  <c r="O69" i="21" s="1"/>
  <c r="N37" i="21"/>
  <c r="N69" i="21" s="1"/>
  <c r="M37" i="21"/>
  <c r="M69" i="21" s="1"/>
  <c r="L37" i="21"/>
  <c r="L69" i="21" s="1"/>
  <c r="K37" i="21"/>
  <c r="K69" i="21" s="1"/>
  <c r="J37" i="21"/>
  <c r="J69" i="21" s="1"/>
  <c r="I37" i="21"/>
  <c r="H37" i="21"/>
  <c r="H69" i="21" s="1"/>
  <c r="G37" i="21"/>
  <c r="G69" i="21" s="1"/>
  <c r="F37" i="21"/>
  <c r="F69" i="21" s="1"/>
  <c r="E37" i="21"/>
  <c r="E69" i="21" s="1"/>
  <c r="D37" i="21"/>
  <c r="D69" i="21" s="1"/>
  <c r="D70" i="21" s="1"/>
  <c r="AB36" i="21"/>
  <c r="AA36" i="21"/>
  <c r="Z36" i="21"/>
  <c r="Y36" i="21"/>
  <c r="X36" i="21"/>
  <c r="W36" i="21"/>
  <c r="V36" i="21"/>
  <c r="U36" i="21"/>
  <c r="T36" i="21"/>
  <c r="S36" i="21"/>
  <c r="Q36" i="21"/>
  <c r="R36" i="21" s="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F22" i="21"/>
  <c r="F46" i="21" s="1"/>
  <c r="E22" i="21"/>
  <c r="E46" i="21" s="1"/>
  <c r="O21" i="21"/>
  <c r="O57" i="21" s="1"/>
  <c r="N21" i="21"/>
  <c r="N57" i="21" s="1"/>
  <c r="G20" i="21"/>
  <c r="G22" i="21" s="1"/>
  <c r="G46" i="21" s="1"/>
  <c r="D11" i="21"/>
  <c r="D15" i="21" s="1"/>
  <c r="D10" i="21"/>
  <c r="E9" i="21"/>
  <c r="E10" i="21" s="1"/>
  <c r="E7" i="21"/>
  <c r="F7" i="21" s="1"/>
  <c r="Q96" i="47" l="1"/>
  <c r="Q98" i="47" s="1"/>
  <c r="Q96" i="46"/>
  <c r="Q98" i="46" s="1"/>
  <c r="AB81" i="48"/>
  <c r="AB82" i="48" s="1"/>
  <c r="AA82" i="48"/>
  <c r="AB92" i="48"/>
  <c r="AB93" i="48" s="1"/>
  <c r="AA93" i="48"/>
  <c r="Q94" i="48" s="1"/>
  <c r="Q95" i="48"/>
  <c r="F51" i="21"/>
  <c r="N47" i="21"/>
  <c r="F49" i="21"/>
  <c r="F59" i="21" s="1"/>
  <c r="D93" i="21"/>
  <c r="F9" i="21"/>
  <c r="H20" i="21"/>
  <c r="H22" i="21" s="1"/>
  <c r="R37" i="21"/>
  <c r="O8" i="21"/>
  <c r="O58" i="21" s="1"/>
  <c r="E53" i="21"/>
  <c r="M82" i="22"/>
  <c r="M104" i="22"/>
  <c r="P39" i="22"/>
  <c r="P40" i="22" s="1"/>
  <c r="Q38" i="22"/>
  <c r="R38" i="22" s="1"/>
  <c r="S38" i="22" s="1"/>
  <c r="T38" i="22" s="1"/>
  <c r="U38" i="22" s="1"/>
  <c r="V38" i="22" s="1"/>
  <c r="W38" i="22" s="1"/>
  <c r="X38" i="22" s="1"/>
  <c r="Y38" i="22" s="1"/>
  <c r="Z38" i="22" s="1"/>
  <c r="M93" i="22"/>
  <c r="O38" i="22"/>
  <c r="O39" i="22" s="1"/>
  <c r="N102" i="22"/>
  <c r="N41" i="22"/>
  <c r="N91" i="22" s="1"/>
  <c r="C95" i="22" s="1"/>
  <c r="N40" i="22"/>
  <c r="N80" i="22" s="1"/>
  <c r="C84" i="22" s="1"/>
  <c r="D71" i="21"/>
  <c r="E70" i="21"/>
  <c r="E50" i="21"/>
  <c r="E51" i="21"/>
  <c r="D16" i="21"/>
  <c r="E15" i="21"/>
  <c r="F15" i="21" s="1"/>
  <c r="G15" i="21" s="1"/>
  <c r="H15" i="21" s="1"/>
  <c r="I15" i="21" s="1"/>
  <c r="J15" i="21" s="1"/>
  <c r="K15" i="21" s="1"/>
  <c r="L15" i="21" s="1"/>
  <c r="M15" i="21" s="1"/>
  <c r="N15" i="21" s="1"/>
  <c r="O15" i="21" s="1"/>
  <c r="P15" i="21" s="1"/>
  <c r="Q15" i="21" s="1"/>
  <c r="R15" i="21" s="1"/>
  <c r="S15" i="21" s="1"/>
  <c r="T15" i="21" s="1"/>
  <c r="U15" i="21" s="1"/>
  <c r="V15" i="21" s="1"/>
  <c r="W15" i="21" s="1"/>
  <c r="X15" i="21" s="1"/>
  <c r="Y15" i="21" s="1"/>
  <c r="Z15" i="21" s="1"/>
  <c r="AA15" i="21" s="1"/>
  <c r="AB15" i="21" s="1"/>
  <c r="I20" i="21"/>
  <c r="AB103" i="21"/>
  <c r="F10" i="21"/>
  <c r="F11" i="21" s="1"/>
  <c r="G9" i="21"/>
  <c r="H46" i="21"/>
  <c r="G51" i="21"/>
  <c r="E11" i="21"/>
  <c r="G7" i="21"/>
  <c r="P21" i="21"/>
  <c r="O47" i="21"/>
  <c r="O48" i="21"/>
  <c r="Q96" i="48" l="1"/>
  <c r="Q98" i="48" s="1"/>
  <c r="S37" i="21"/>
  <c r="R69" i="21"/>
  <c r="E52" i="21"/>
  <c r="F14" i="21"/>
  <c r="F75" i="21" s="1"/>
  <c r="F50" i="21"/>
  <c r="F52" i="21" s="1"/>
  <c r="F79" i="21" s="1"/>
  <c r="P41" i="22"/>
  <c r="Q41" i="22" s="1"/>
  <c r="N81" i="22"/>
  <c r="N82" i="22" s="1"/>
  <c r="N92" i="22"/>
  <c r="N93" i="22" s="1"/>
  <c r="N103" i="22"/>
  <c r="N104" i="22" s="1"/>
  <c r="C106" i="22"/>
  <c r="C94" i="22"/>
  <c r="C96" i="22" s="1"/>
  <c r="C98" i="22" s="1"/>
  <c r="P91" i="22"/>
  <c r="P80" i="22"/>
  <c r="Q40" i="22"/>
  <c r="C83" i="22"/>
  <c r="C85" i="22" s="1"/>
  <c r="C87" i="22" s="1"/>
  <c r="C105" i="22"/>
  <c r="O102" i="22"/>
  <c r="O41" i="22"/>
  <c r="O91" i="22" s="1"/>
  <c r="O40" i="22"/>
  <c r="O80" i="22" s="1"/>
  <c r="Q39" i="22"/>
  <c r="P102" i="22"/>
  <c r="F86" i="21"/>
  <c r="H51" i="21"/>
  <c r="H7" i="21"/>
  <c r="J20" i="21"/>
  <c r="I22" i="21"/>
  <c r="G49" i="21"/>
  <c r="P57" i="21"/>
  <c r="P47" i="21"/>
  <c r="P8" i="21"/>
  <c r="Q21" i="21"/>
  <c r="F70" i="21"/>
  <c r="G10" i="21"/>
  <c r="G11" i="21" s="1"/>
  <c r="G14" i="21" s="1"/>
  <c r="H9" i="21"/>
  <c r="E54" i="21"/>
  <c r="E68" i="21" s="1"/>
  <c r="E71" i="21" s="1"/>
  <c r="E79" i="21"/>
  <c r="E14" i="21"/>
  <c r="F97" i="21" l="1"/>
  <c r="G53" i="21"/>
  <c r="D95" i="22"/>
  <c r="F16" i="21"/>
  <c r="C107" i="22"/>
  <c r="C109" i="22" s="1"/>
  <c r="T37" i="21"/>
  <c r="S69" i="21"/>
  <c r="E95" i="22"/>
  <c r="D84" i="22"/>
  <c r="O92" i="22"/>
  <c r="O93" i="22" s="1"/>
  <c r="O81" i="22"/>
  <c r="E84" i="22" s="1"/>
  <c r="R39" i="22"/>
  <c r="Q102" i="22"/>
  <c r="R41" i="22"/>
  <c r="Q91" i="22"/>
  <c r="O103" i="22"/>
  <c r="O104" i="22" s="1"/>
  <c r="E105" i="22" s="1"/>
  <c r="D106" i="22"/>
  <c r="P92" i="22"/>
  <c r="D105" i="22"/>
  <c r="P103" i="22"/>
  <c r="P104" i="22" s="1"/>
  <c r="D94" i="22"/>
  <c r="D96" i="22" s="1"/>
  <c r="D98" i="22" s="1"/>
  <c r="R40" i="22"/>
  <c r="Q80" i="22"/>
  <c r="D83" i="22"/>
  <c r="H10" i="21"/>
  <c r="H11" i="21" s="1"/>
  <c r="H14" i="21" s="1"/>
  <c r="I9" i="21"/>
  <c r="G97" i="21"/>
  <c r="G60" i="21"/>
  <c r="G62" i="21" s="1"/>
  <c r="H53" i="21"/>
  <c r="G86" i="21"/>
  <c r="G16" i="21"/>
  <c r="G75" i="21"/>
  <c r="P58" i="21"/>
  <c r="Q48" i="21"/>
  <c r="Q8" i="21"/>
  <c r="P48" i="21"/>
  <c r="I49" i="21"/>
  <c r="I59" i="21" s="1"/>
  <c r="I7" i="21"/>
  <c r="Q57" i="21"/>
  <c r="Q47" i="21"/>
  <c r="R21" i="21"/>
  <c r="K20" i="21"/>
  <c r="J22" i="21"/>
  <c r="F23" i="21"/>
  <c r="E16" i="21"/>
  <c r="E97" i="21"/>
  <c r="E86" i="21"/>
  <c r="F53" i="21"/>
  <c r="F54" i="21" s="1"/>
  <c r="F68" i="21" s="1"/>
  <c r="F71" i="21" s="1"/>
  <c r="E23" i="21"/>
  <c r="E75" i="21"/>
  <c r="E60" i="21"/>
  <c r="E62" i="21" s="1"/>
  <c r="I46" i="21"/>
  <c r="G59" i="21"/>
  <c r="G50" i="21"/>
  <c r="G52" i="21" s="1"/>
  <c r="G70" i="21"/>
  <c r="F60" i="21"/>
  <c r="F62" i="21" s="1"/>
  <c r="G23" i="21"/>
  <c r="H49" i="21"/>
  <c r="O82" i="22" l="1"/>
  <c r="P81" i="22"/>
  <c r="F84" i="22" s="1"/>
  <c r="U37" i="21"/>
  <c r="T69" i="21"/>
  <c r="D107" i="22"/>
  <c r="D109" i="22" s="1"/>
  <c r="D85" i="22"/>
  <c r="D87" i="22" s="1"/>
  <c r="E106" i="22"/>
  <c r="E107" i="22" s="1"/>
  <c r="E109" i="22" s="1"/>
  <c r="P82" i="22"/>
  <c r="E83" i="22"/>
  <c r="E85" i="22" s="1"/>
  <c r="E87" i="22" s="1"/>
  <c r="E94" i="22"/>
  <c r="E96" i="22" s="1"/>
  <c r="E98" i="22" s="1"/>
  <c r="R102" i="22"/>
  <c r="S39" i="22"/>
  <c r="S40" i="22"/>
  <c r="R80" i="22"/>
  <c r="R91" i="22"/>
  <c r="S41" i="22"/>
  <c r="Q92" i="22"/>
  <c r="P93" i="22"/>
  <c r="Q103" i="22"/>
  <c r="Q104" i="22" s="1"/>
  <c r="F106" i="22"/>
  <c r="F95" i="22"/>
  <c r="F105" i="22"/>
  <c r="H97" i="21"/>
  <c r="H60" i="21"/>
  <c r="H62" i="21" s="1"/>
  <c r="I53" i="21"/>
  <c r="H16" i="21"/>
  <c r="H75" i="21"/>
  <c r="H86" i="21"/>
  <c r="I10" i="21"/>
  <c r="J9" i="21"/>
  <c r="G63" i="21"/>
  <c r="G24" i="21"/>
  <c r="H70" i="21"/>
  <c r="J46" i="21"/>
  <c r="F63" i="21"/>
  <c r="F24" i="21"/>
  <c r="J7" i="21"/>
  <c r="I11" i="21"/>
  <c r="I14" i="21" s="1"/>
  <c r="I23" i="21" s="1"/>
  <c r="I51" i="21"/>
  <c r="I50" i="21"/>
  <c r="H59" i="21"/>
  <c r="H50" i="21"/>
  <c r="H52" i="21" s="1"/>
  <c r="S21" i="21"/>
  <c r="R47" i="21"/>
  <c r="R57" i="21"/>
  <c r="Q58" i="21"/>
  <c r="R8" i="21"/>
  <c r="R48" i="21" s="1"/>
  <c r="G54" i="21"/>
  <c r="G68" i="21" s="1"/>
  <c r="G71" i="21" s="1"/>
  <c r="G79" i="21"/>
  <c r="E24" i="21"/>
  <c r="E63" i="21"/>
  <c r="K22" i="21"/>
  <c r="L20" i="21"/>
  <c r="H23" i="21"/>
  <c r="U69" i="21" l="1"/>
  <c r="V37" i="21"/>
  <c r="Q81" i="22"/>
  <c r="G105" i="22"/>
  <c r="G84" i="22"/>
  <c r="S102" i="22"/>
  <c r="T39" i="22"/>
  <c r="F94" i="22"/>
  <c r="F96" i="22" s="1"/>
  <c r="F98" i="22" s="1"/>
  <c r="T40" i="22"/>
  <c r="S80" i="22"/>
  <c r="S91" i="22"/>
  <c r="T41" i="22"/>
  <c r="G95" i="22"/>
  <c r="R92" i="22"/>
  <c r="Q93" i="22"/>
  <c r="R81" i="22"/>
  <c r="Q82" i="22"/>
  <c r="G83" i="22" s="1"/>
  <c r="F83" i="22"/>
  <c r="F85" i="22" s="1"/>
  <c r="F87" i="22" s="1"/>
  <c r="R103" i="22"/>
  <c r="R104" i="22" s="1"/>
  <c r="H105" i="22" s="1"/>
  <c r="G106" i="22"/>
  <c r="F107" i="22"/>
  <c r="F109" i="22" s="1"/>
  <c r="I63" i="21"/>
  <c r="I24" i="21"/>
  <c r="F26" i="21"/>
  <c r="F56" i="21" s="1"/>
  <c r="F61" i="21" s="1"/>
  <c r="F25" i="21"/>
  <c r="J10" i="21"/>
  <c r="J11" i="21" s="1"/>
  <c r="J14" i="21" s="1"/>
  <c r="J23" i="21" s="1"/>
  <c r="K9" i="21"/>
  <c r="E25" i="21"/>
  <c r="E26" i="21" s="1"/>
  <c r="E56" i="21" s="1"/>
  <c r="E61" i="21" s="1"/>
  <c r="J51" i="21"/>
  <c r="K46" i="21"/>
  <c r="M20" i="21"/>
  <c r="L22" i="21"/>
  <c r="I52" i="21"/>
  <c r="H63" i="21"/>
  <c r="H24" i="21"/>
  <c r="S8" i="21"/>
  <c r="R58" i="21"/>
  <c r="S48" i="21"/>
  <c r="H54" i="21"/>
  <c r="H68" i="21" s="1"/>
  <c r="H71" i="21" s="1"/>
  <c r="H79" i="21"/>
  <c r="K7" i="21"/>
  <c r="S57" i="21"/>
  <c r="S47" i="21"/>
  <c r="T21" i="21"/>
  <c r="I86" i="21"/>
  <c r="I75" i="21"/>
  <c r="I97" i="21"/>
  <c r="I60" i="21"/>
  <c r="I62" i="21" s="1"/>
  <c r="J53" i="21"/>
  <c r="I16" i="21"/>
  <c r="G25" i="21"/>
  <c r="G26" i="21" s="1"/>
  <c r="G56" i="21" s="1"/>
  <c r="G61" i="21" s="1"/>
  <c r="I70" i="21"/>
  <c r="J49" i="21"/>
  <c r="J59" i="21" s="1"/>
  <c r="G107" i="22" l="1"/>
  <c r="G109" i="22" s="1"/>
  <c r="V69" i="21"/>
  <c r="W37" i="21"/>
  <c r="G85" i="22"/>
  <c r="G87" i="22" s="1"/>
  <c r="T102" i="22"/>
  <c r="U39" i="22"/>
  <c r="G94" i="22"/>
  <c r="G96" i="22" s="1"/>
  <c r="G98" i="22" s="1"/>
  <c r="T80" i="22"/>
  <c r="U40" i="22"/>
  <c r="H84" i="22"/>
  <c r="H95" i="22"/>
  <c r="S92" i="22"/>
  <c r="R93" i="22"/>
  <c r="S81" i="22"/>
  <c r="R82" i="22"/>
  <c r="T91" i="22"/>
  <c r="U41" i="22"/>
  <c r="S103" i="22"/>
  <c r="S104" i="22" s="1"/>
  <c r="I105" i="22" s="1"/>
  <c r="H106" i="22"/>
  <c r="H107" i="22" s="1"/>
  <c r="H109" i="22" s="1"/>
  <c r="E101" i="21"/>
  <c r="E64" i="21"/>
  <c r="E90" i="21" s="1"/>
  <c r="J70" i="21"/>
  <c r="K51" i="21"/>
  <c r="K10" i="21"/>
  <c r="L9" i="21"/>
  <c r="N20" i="21"/>
  <c r="M22" i="21"/>
  <c r="L46" i="21"/>
  <c r="I54" i="21"/>
  <c r="I68" i="21" s="1"/>
  <c r="I71" i="21" s="1"/>
  <c r="I79" i="21"/>
  <c r="J63" i="21"/>
  <c r="J24" i="21"/>
  <c r="T57" i="21"/>
  <c r="T47" i="21"/>
  <c r="U21" i="21"/>
  <c r="J86" i="21"/>
  <c r="J75" i="21"/>
  <c r="J97" i="21"/>
  <c r="J60" i="21"/>
  <c r="J62" i="21" s="1"/>
  <c r="J16" i="21"/>
  <c r="K53" i="21"/>
  <c r="I26" i="21"/>
  <c r="I56" i="21" s="1"/>
  <c r="I61" i="21" s="1"/>
  <c r="I25" i="21"/>
  <c r="G64" i="21"/>
  <c r="G90" i="21" s="1"/>
  <c r="G101" i="21"/>
  <c r="K11" i="21"/>
  <c r="K14" i="21" s="1"/>
  <c r="K23" i="21" s="1"/>
  <c r="L7" i="21"/>
  <c r="L49" i="21" s="1"/>
  <c r="L59" i="21" s="1"/>
  <c r="H26" i="21"/>
  <c r="H56" i="21" s="1"/>
  <c r="H61" i="21" s="1"/>
  <c r="H25" i="21"/>
  <c r="F101" i="21"/>
  <c r="F64" i="21"/>
  <c r="F90" i="21" s="1"/>
  <c r="T8" i="21"/>
  <c r="T48" i="21" s="1"/>
  <c r="S58" i="21"/>
  <c r="K49" i="21"/>
  <c r="K59" i="21" s="1"/>
  <c r="J50" i="21"/>
  <c r="J52" i="21" s="1"/>
  <c r="W69" i="21" l="1"/>
  <c r="X37" i="21"/>
  <c r="H94" i="22"/>
  <c r="H96" i="22" s="1"/>
  <c r="H98" i="22" s="1"/>
  <c r="V39" i="22"/>
  <c r="U102" i="22"/>
  <c r="U80" i="22"/>
  <c r="V40" i="22"/>
  <c r="U91" i="22"/>
  <c r="V41" i="22"/>
  <c r="I84" i="22"/>
  <c r="T103" i="22"/>
  <c r="T104" i="22" s="1"/>
  <c r="J105" i="22" s="1"/>
  <c r="I106" i="22"/>
  <c r="I107" i="22" s="1"/>
  <c r="I109" i="22" s="1"/>
  <c r="T92" i="22"/>
  <c r="S93" i="22"/>
  <c r="I94" i="22" s="1"/>
  <c r="T81" i="22"/>
  <c r="S82" i="22"/>
  <c r="I83" i="22" s="1"/>
  <c r="I85" i="22" s="1"/>
  <c r="I87" i="22" s="1"/>
  <c r="H83" i="22"/>
  <c r="H85" i="22" s="1"/>
  <c r="H87" i="22" s="1"/>
  <c r="I95" i="22"/>
  <c r="K63" i="21"/>
  <c r="K24" i="21"/>
  <c r="H64" i="21"/>
  <c r="H90" i="21" s="1"/>
  <c r="H101" i="21"/>
  <c r="N22" i="21"/>
  <c r="O20" i="21"/>
  <c r="J79" i="21"/>
  <c r="J54" i="21"/>
  <c r="J68" i="21" s="1"/>
  <c r="J71" i="21" s="1"/>
  <c r="I64" i="21"/>
  <c r="I90" i="21" s="1"/>
  <c r="I101" i="21"/>
  <c r="M46" i="21"/>
  <c r="J26" i="21"/>
  <c r="J56" i="21" s="1"/>
  <c r="J61" i="21" s="1"/>
  <c r="J25" i="21"/>
  <c r="K70" i="21"/>
  <c r="L51" i="21"/>
  <c r="L50" i="21"/>
  <c r="K50" i="21"/>
  <c r="K52" i="21" s="1"/>
  <c r="T58" i="21"/>
  <c r="U8" i="21"/>
  <c r="U48" i="21" s="1"/>
  <c r="K16" i="21"/>
  <c r="K86" i="21"/>
  <c r="K75" i="21"/>
  <c r="L53" i="21"/>
  <c r="K60" i="21"/>
  <c r="K62" i="21" s="1"/>
  <c r="K97" i="21"/>
  <c r="V21" i="21"/>
  <c r="U47" i="21"/>
  <c r="U57" i="21"/>
  <c r="M7" i="21"/>
  <c r="M9" i="21"/>
  <c r="L10" i="21"/>
  <c r="L11" i="21" s="1"/>
  <c r="L14" i="21" s="1"/>
  <c r="I96" i="22" l="1"/>
  <c r="I98" i="22" s="1"/>
  <c r="X69" i="21"/>
  <c r="Y37" i="21"/>
  <c r="J95" i="22"/>
  <c r="U81" i="22"/>
  <c r="T82" i="22"/>
  <c r="J83" i="22" s="1"/>
  <c r="V91" i="22"/>
  <c r="W41" i="22"/>
  <c r="V102" i="22"/>
  <c r="W39" i="22"/>
  <c r="J84" i="22"/>
  <c r="U103" i="22"/>
  <c r="U104" i="22" s="1"/>
  <c r="K105" i="22" s="1"/>
  <c r="J106" i="22"/>
  <c r="J107" i="22" s="1"/>
  <c r="J109" i="22" s="1"/>
  <c r="U92" i="22"/>
  <c r="T93" i="22"/>
  <c r="J94" i="22" s="1"/>
  <c r="W40" i="22"/>
  <c r="V80" i="22"/>
  <c r="L16" i="21"/>
  <c r="L86" i="21"/>
  <c r="L75" i="21"/>
  <c r="L97" i="21"/>
  <c r="L60" i="21"/>
  <c r="L62" i="21" s="1"/>
  <c r="M53" i="21"/>
  <c r="L23" i="21"/>
  <c r="J64" i="21"/>
  <c r="J90" i="21" s="1"/>
  <c r="J101" i="21"/>
  <c r="N7" i="21"/>
  <c r="O22" i="21"/>
  <c r="P20" i="21"/>
  <c r="L70" i="21"/>
  <c r="W21" i="21"/>
  <c r="V47" i="21"/>
  <c r="V57" i="21"/>
  <c r="K26" i="21"/>
  <c r="K56" i="21" s="1"/>
  <c r="K61" i="21" s="1"/>
  <c r="K25" i="21"/>
  <c r="N46" i="21"/>
  <c r="V8" i="21"/>
  <c r="U58" i="21"/>
  <c r="M10" i="21"/>
  <c r="M11" i="21" s="1"/>
  <c r="M14" i="21" s="1"/>
  <c r="N9" i="21"/>
  <c r="K79" i="21"/>
  <c r="K54" i="21"/>
  <c r="K68" i="21" s="1"/>
  <c r="K71" i="21" s="1"/>
  <c r="M51" i="21"/>
  <c r="M50" i="21"/>
  <c r="M49" i="21"/>
  <c r="M59" i="21" s="1"/>
  <c r="L52" i="21"/>
  <c r="Z37" i="21" l="1"/>
  <c r="Y69" i="21"/>
  <c r="J96" i="22"/>
  <c r="J98" i="22" s="1"/>
  <c r="K84" i="22"/>
  <c r="K95" i="22"/>
  <c r="V81" i="22"/>
  <c r="U82" i="22"/>
  <c r="K83" i="22" s="1"/>
  <c r="V103" i="22"/>
  <c r="V104" i="22" s="1"/>
  <c r="L105" i="22" s="1"/>
  <c r="K106" i="22"/>
  <c r="K107" i="22" s="1"/>
  <c r="K109" i="22" s="1"/>
  <c r="J85" i="22"/>
  <c r="J87" i="22" s="1"/>
  <c r="V92" i="22"/>
  <c r="U93" i="22"/>
  <c r="W91" i="22"/>
  <c r="X41" i="22"/>
  <c r="W80" i="22"/>
  <c r="X40" i="22"/>
  <c r="W102" i="22"/>
  <c r="X39" i="22"/>
  <c r="M16" i="21"/>
  <c r="M97" i="21"/>
  <c r="M60" i="21"/>
  <c r="M62" i="21" s="1"/>
  <c r="N53" i="21"/>
  <c r="M75" i="21"/>
  <c r="M86" i="21"/>
  <c r="M23" i="21"/>
  <c r="K64" i="21"/>
  <c r="K90" i="21" s="1"/>
  <c r="K101" i="21"/>
  <c r="O46" i="21"/>
  <c r="W8" i="21"/>
  <c r="V58" i="21"/>
  <c r="P22" i="21"/>
  <c r="Q20" i="21"/>
  <c r="L63" i="21"/>
  <c r="L24" i="21"/>
  <c r="M52" i="21"/>
  <c r="V48" i="21"/>
  <c r="M70" i="21"/>
  <c r="W57" i="21"/>
  <c r="W47" i="21"/>
  <c r="X21" i="21"/>
  <c r="L54" i="21"/>
  <c r="L68" i="21" s="1"/>
  <c r="L71" i="21" s="1"/>
  <c r="L79" i="21"/>
  <c r="N10" i="21"/>
  <c r="O9" i="21"/>
  <c r="O49" i="21"/>
  <c r="O59" i="21" s="1"/>
  <c r="N11" i="21"/>
  <c r="N14" i="21" s="1"/>
  <c r="N23" i="21" s="1"/>
  <c r="O7" i="21"/>
  <c r="N50" i="21"/>
  <c r="N52" i="21" s="1"/>
  <c r="N51" i="21"/>
  <c r="N49" i="21"/>
  <c r="N59" i="21" s="1"/>
  <c r="AA37" i="21" l="1"/>
  <c r="AA69" i="21" s="1"/>
  <c r="Z69" i="21"/>
  <c r="K85" i="22"/>
  <c r="K87" i="22" s="1"/>
  <c r="X91" i="22"/>
  <c r="M95" i="22" s="1"/>
  <c r="Y41" i="22"/>
  <c r="W81" i="22"/>
  <c r="V82" i="22"/>
  <c r="L83" i="22" s="1"/>
  <c r="W103" i="22"/>
  <c r="W104" i="22" s="1"/>
  <c r="M105" i="22" s="1"/>
  <c r="L106" i="22"/>
  <c r="W92" i="22"/>
  <c r="V93" i="22"/>
  <c r="L94" i="22" s="1"/>
  <c r="K94" i="22"/>
  <c r="K96" i="22" s="1"/>
  <c r="K98" i="22" s="1"/>
  <c r="L107" i="22"/>
  <c r="L109" i="22" s="1"/>
  <c r="X80" i="22"/>
  <c r="Y40" i="22"/>
  <c r="X102" i="22"/>
  <c r="Y39" i="22"/>
  <c r="L84" i="22"/>
  <c r="L95" i="22"/>
  <c r="N63" i="21"/>
  <c r="N24" i="21"/>
  <c r="N70" i="21"/>
  <c r="W58" i="21"/>
  <c r="X8" i="21"/>
  <c r="O10" i="21"/>
  <c r="O11" i="21" s="1"/>
  <c r="O14" i="21" s="1"/>
  <c r="P9" i="21"/>
  <c r="M63" i="21"/>
  <c r="M24" i="21"/>
  <c r="N79" i="21"/>
  <c r="N54" i="21"/>
  <c r="N68" i="21" s="1"/>
  <c r="N71" i="21" s="1"/>
  <c r="D72" i="21" s="1"/>
  <c r="P46" i="21"/>
  <c r="O53" i="21"/>
  <c r="N86" i="21"/>
  <c r="N75" i="21"/>
  <c r="N16" i="21"/>
  <c r="N60" i="21"/>
  <c r="N62" i="21" s="1"/>
  <c r="N97" i="21"/>
  <c r="R20" i="21"/>
  <c r="Q22" i="21"/>
  <c r="P49" i="21"/>
  <c r="P59" i="21" s="1"/>
  <c r="P7" i="21"/>
  <c r="O51" i="21"/>
  <c r="O50" i="21"/>
  <c r="X57" i="21"/>
  <c r="X47" i="21"/>
  <c r="Y21" i="21"/>
  <c r="L25" i="21"/>
  <c r="L26" i="21" s="1"/>
  <c r="L56" i="21" s="1"/>
  <c r="L61" i="21" s="1"/>
  <c r="M79" i="21"/>
  <c r="M54" i="21"/>
  <c r="M68" i="21" s="1"/>
  <c r="M71" i="21" s="1"/>
  <c r="W48" i="21"/>
  <c r="Y80" i="22" l="1"/>
  <c r="Z40" i="22"/>
  <c r="Z80" i="22" s="1"/>
  <c r="Y91" i="22"/>
  <c r="Z41" i="22"/>
  <c r="Z91" i="22" s="1"/>
  <c r="X81" i="22"/>
  <c r="W82" i="22"/>
  <c r="M83" i="22" s="1"/>
  <c r="X103" i="22"/>
  <c r="X104" i="22" s="1"/>
  <c r="M106" i="22"/>
  <c r="M107" i="22" s="1"/>
  <c r="M109" i="22" s="1"/>
  <c r="X92" i="22"/>
  <c r="W93" i="22"/>
  <c r="M94" i="22" s="1"/>
  <c r="M96" i="22" s="1"/>
  <c r="M98" i="22" s="1"/>
  <c r="Z39" i="22"/>
  <c r="Z102" i="22" s="1"/>
  <c r="Z103" i="22" s="1"/>
  <c r="Z104" i="22" s="1"/>
  <c r="Y102" i="22"/>
  <c r="Y103" i="22" s="1"/>
  <c r="Y104" i="22" s="1"/>
  <c r="L85" i="22"/>
  <c r="L87" i="22" s="1"/>
  <c r="M84" i="22"/>
  <c r="L96" i="22"/>
  <c r="L98" i="22" s="1"/>
  <c r="L101" i="21"/>
  <c r="L64" i="21"/>
  <c r="L90" i="21" s="1"/>
  <c r="O97" i="21"/>
  <c r="O60" i="21"/>
  <c r="O62" i="21" s="1"/>
  <c r="P53" i="21"/>
  <c r="O16" i="21"/>
  <c r="O75" i="21"/>
  <c r="O23" i="21"/>
  <c r="P51" i="21"/>
  <c r="P50" i="21"/>
  <c r="S20" i="21"/>
  <c r="R22" i="21"/>
  <c r="P10" i="21"/>
  <c r="P11" i="21" s="1"/>
  <c r="P14" i="21" s="1"/>
  <c r="Q9" i="21"/>
  <c r="N26" i="21"/>
  <c r="N56" i="21" s="1"/>
  <c r="N61" i="21" s="1"/>
  <c r="N25" i="21"/>
  <c r="O25" i="21" s="1"/>
  <c r="P25" i="21" s="1"/>
  <c r="Q25" i="21" s="1"/>
  <c r="R25" i="21" s="1"/>
  <c r="S25" i="21" s="1"/>
  <c r="T25" i="21" s="1"/>
  <c r="U25" i="21" s="1"/>
  <c r="V25" i="21" s="1"/>
  <c r="W25" i="21" s="1"/>
  <c r="X25" i="21" s="1"/>
  <c r="Y25" i="21" s="1"/>
  <c r="Z25" i="21" s="1"/>
  <c r="AA25" i="21" s="1"/>
  <c r="AB25" i="21" s="1"/>
  <c r="Q46" i="21"/>
  <c r="O70" i="21"/>
  <c r="X58" i="21"/>
  <c r="Y8" i="21"/>
  <c r="Y57" i="21"/>
  <c r="Y47" i="21"/>
  <c r="Z21" i="21"/>
  <c r="M25" i="21"/>
  <c r="M26" i="21" s="1"/>
  <c r="M56" i="21" s="1"/>
  <c r="M61" i="21" s="1"/>
  <c r="Q7" i="21"/>
  <c r="Q49" i="21" s="1"/>
  <c r="Q59" i="21" s="1"/>
  <c r="O52" i="21"/>
  <c r="X48" i="21"/>
  <c r="Y92" i="22" l="1"/>
  <c r="X93" i="22"/>
  <c r="N94" i="22" s="1"/>
  <c r="N96" i="22" s="1"/>
  <c r="N98" i="22" s="1"/>
  <c r="Y81" i="22"/>
  <c r="X82" i="22"/>
  <c r="N95" i="22"/>
  <c r="M85" i="22"/>
  <c r="M87" i="22" s="1"/>
  <c r="P97" i="21"/>
  <c r="P60" i="21"/>
  <c r="P62" i="21" s="1"/>
  <c r="Q53" i="21"/>
  <c r="P16" i="21"/>
  <c r="P75" i="21"/>
  <c r="P23" i="21"/>
  <c r="R7" i="21"/>
  <c r="R49" i="21"/>
  <c r="R59" i="21" s="1"/>
  <c r="Y58" i="21"/>
  <c r="Z8" i="21"/>
  <c r="S22" i="21"/>
  <c r="T20" i="21"/>
  <c r="P70" i="21"/>
  <c r="R46" i="21"/>
  <c r="O54" i="21"/>
  <c r="O68" i="21" s="1"/>
  <c r="O79" i="21"/>
  <c r="O63" i="21"/>
  <c r="O24" i="21"/>
  <c r="O26" i="21" s="1"/>
  <c r="O56" i="21" s="1"/>
  <c r="O61" i="21" s="1"/>
  <c r="Q10" i="21"/>
  <c r="Q11" i="21" s="1"/>
  <c r="Q14" i="21" s="1"/>
  <c r="Q23" i="21" s="1"/>
  <c r="R9" i="21"/>
  <c r="AA21" i="21"/>
  <c r="Z57" i="21"/>
  <c r="Z47" i="21"/>
  <c r="N101" i="21"/>
  <c r="N64" i="21"/>
  <c r="N90" i="21" s="1"/>
  <c r="M101" i="21"/>
  <c r="M64" i="21"/>
  <c r="M90" i="21" s="1"/>
  <c r="Q51" i="21"/>
  <c r="Q50" i="21"/>
  <c r="Q52" i="21" s="1"/>
  <c r="P52" i="21"/>
  <c r="Y48" i="21"/>
  <c r="Z92" i="22" l="1"/>
  <c r="Y93" i="22"/>
  <c r="O94" i="22" s="1"/>
  <c r="O96" i="22" s="1"/>
  <c r="O98" i="22" s="1"/>
  <c r="Z81" i="22"/>
  <c r="Y82" i="22"/>
  <c r="O95" i="22"/>
  <c r="Q63" i="21"/>
  <c r="Q24" i="21"/>
  <c r="Q26" i="21" s="1"/>
  <c r="Q56" i="21" s="1"/>
  <c r="Q79" i="21"/>
  <c r="Q54" i="21"/>
  <c r="Q68" i="21" s="1"/>
  <c r="AA8" i="21"/>
  <c r="AA48" i="21" s="1"/>
  <c r="Z58" i="21"/>
  <c r="P54" i="21"/>
  <c r="P68" i="21" s="1"/>
  <c r="P79" i="21"/>
  <c r="O71" i="21"/>
  <c r="D73" i="21"/>
  <c r="D74" i="21" s="1"/>
  <c r="D76" i="21" s="1"/>
  <c r="S46" i="21"/>
  <c r="P63" i="21"/>
  <c r="P24" i="21"/>
  <c r="P26" i="21" s="1"/>
  <c r="P56" i="21" s="1"/>
  <c r="P61" i="21" s="1"/>
  <c r="U20" i="21"/>
  <c r="T22" i="21"/>
  <c r="S7" i="21"/>
  <c r="Q70" i="21"/>
  <c r="O64" i="21"/>
  <c r="O90" i="21" s="1"/>
  <c r="O101" i="21"/>
  <c r="Q75" i="21"/>
  <c r="Q97" i="21"/>
  <c r="Q60" i="21"/>
  <c r="Q62" i="21" s="1"/>
  <c r="R53" i="21"/>
  <c r="Q16" i="21"/>
  <c r="R51" i="21"/>
  <c r="R50" i="21"/>
  <c r="R10" i="21"/>
  <c r="R11" i="21" s="1"/>
  <c r="R14" i="21" s="1"/>
  <c r="S9" i="21"/>
  <c r="AB21" i="21"/>
  <c r="AA47" i="21"/>
  <c r="AA57" i="21"/>
  <c r="Z48" i="21"/>
  <c r="Q61" i="21" l="1"/>
  <c r="AA92" i="22"/>
  <c r="AA93" i="22" s="1"/>
  <c r="P95" i="22"/>
  <c r="Z93" i="22"/>
  <c r="P94" i="22" s="1"/>
  <c r="AA81" i="22"/>
  <c r="AA82" i="22" s="1"/>
  <c r="Z82" i="22"/>
  <c r="R16" i="21"/>
  <c r="R60" i="21"/>
  <c r="R62" i="21" s="1"/>
  <c r="S53" i="21"/>
  <c r="R23" i="21"/>
  <c r="S11" i="21"/>
  <c r="S14" i="21" s="1"/>
  <c r="T7" i="21"/>
  <c r="T49" i="21" s="1"/>
  <c r="T59" i="21" s="1"/>
  <c r="AB57" i="21"/>
  <c r="AB47" i="21"/>
  <c r="P64" i="21"/>
  <c r="P90" i="21" s="1"/>
  <c r="P101" i="21"/>
  <c r="R70" i="21"/>
  <c r="S70" i="21" s="1"/>
  <c r="T70" i="21" s="1"/>
  <c r="U70" i="21" s="1"/>
  <c r="V70" i="21" s="1"/>
  <c r="W70" i="21" s="1"/>
  <c r="X70" i="21" s="1"/>
  <c r="Y70" i="21" s="1"/>
  <c r="Z70" i="21" s="1"/>
  <c r="AA70" i="21" s="1"/>
  <c r="AB70" i="21" s="1"/>
  <c r="E73" i="21"/>
  <c r="P71" i="21"/>
  <c r="Q64" i="21"/>
  <c r="Q90" i="21" s="1"/>
  <c r="Q101" i="21"/>
  <c r="V20" i="21"/>
  <c r="U22" i="21"/>
  <c r="E72" i="21"/>
  <c r="E74" i="21" s="1"/>
  <c r="E76" i="21" s="1"/>
  <c r="T46" i="21"/>
  <c r="D38" i="21"/>
  <c r="D39" i="21" s="1"/>
  <c r="D102" i="21" s="1"/>
  <c r="D103" i="21" s="1"/>
  <c r="F73" i="21"/>
  <c r="Q71" i="21"/>
  <c r="T9" i="21"/>
  <c r="S10" i="21"/>
  <c r="S50" i="21"/>
  <c r="S52" i="21" s="1"/>
  <c r="S51" i="21"/>
  <c r="AB8" i="21"/>
  <c r="AB48" i="21" s="1"/>
  <c r="AA58" i="21"/>
  <c r="R52" i="21"/>
  <c r="S49" i="21"/>
  <c r="S59" i="21" s="1"/>
  <c r="P96" i="22" l="1"/>
  <c r="P98" i="22" s="1"/>
  <c r="U46" i="21"/>
  <c r="S16" i="21"/>
  <c r="T53" i="21"/>
  <c r="S60" i="21"/>
  <c r="S62" i="21" s="1"/>
  <c r="S79" i="21"/>
  <c r="S54" i="21"/>
  <c r="S68" i="21" s="1"/>
  <c r="S23" i="21"/>
  <c r="D104" i="21"/>
  <c r="V22" i="21"/>
  <c r="W20" i="21"/>
  <c r="AB58" i="21"/>
  <c r="G72" i="21"/>
  <c r="E38" i="21"/>
  <c r="E39" i="21" s="1"/>
  <c r="U7" i="21"/>
  <c r="R54" i="21"/>
  <c r="R68" i="21" s="1"/>
  <c r="R79" i="21"/>
  <c r="U9" i="21"/>
  <c r="T10" i="21"/>
  <c r="T11" i="21" s="1"/>
  <c r="T14" i="21" s="1"/>
  <c r="F72" i="21"/>
  <c r="F74" i="21" s="1"/>
  <c r="F76" i="21" s="1"/>
  <c r="R63" i="21"/>
  <c r="R24" i="21"/>
  <c r="R26" i="21" s="1"/>
  <c r="R56" i="21" s="1"/>
  <c r="R61" i="21" s="1"/>
  <c r="T51" i="21"/>
  <c r="T50" i="21"/>
  <c r="T16" i="21" l="1"/>
  <c r="T60" i="21"/>
  <c r="T62" i="21" s="1"/>
  <c r="U53" i="21"/>
  <c r="T23" i="21"/>
  <c r="G73" i="21"/>
  <c r="R71" i="21"/>
  <c r="S63" i="21"/>
  <c r="S24" i="21"/>
  <c r="S26" i="21" s="1"/>
  <c r="S56" i="21" s="1"/>
  <c r="S61" i="21" s="1"/>
  <c r="V9" i="21"/>
  <c r="U10" i="21"/>
  <c r="U51" i="21"/>
  <c r="T52" i="21"/>
  <c r="E102" i="21"/>
  <c r="E103" i="21" s="1"/>
  <c r="E40" i="21"/>
  <c r="E80" i="21" s="1"/>
  <c r="E81" i="21" s="1"/>
  <c r="E41" i="21"/>
  <c r="E91" i="21" s="1"/>
  <c r="E92" i="21" s="1"/>
  <c r="U11" i="21"/>
  <c r="U14" i="21" s="1"/>
  <c r="U23" i="21" s="1"/>
  <c r="V7" i="21"/>
  <c r="V49" i="21" s="1"/>
  <c r="V59" i="21" s="1"/>
  <c r="W22" i="21"/>
  <c r="X20" i="21"/>
  <c r="G74" i="21"/>
  <c r="G76" i="21" s="1"/>
  <c r="F38" i="21"/>
  <c r="F39" i="21" s="1"/>
  <c r="H73" i="21"/>
  <c r="S71" i="21"/>
  <c r="I72" i="21" s="1"/>
  <c r="V46" i="21"/>
  <c r="R64" i="21"/>
  <c r="R90" i="21" s="1"/>
  <c r="R101" i="21"/>
  <c r="U49" i="21"/>
  <c r="U59" i="21" s="1"/>
  <c r="U50" i="21" l="1"/>
  <c r="U52" i="21" s="1"/>
  <c r="U63" i="21"/>
  <c r="U24" i="21"/>
  <c r="U26" i="21" s="1"/>
  <c r="U56" i="21" s="1"/>
  <c r="G38" i="21"/>
  <c r="G39" i="21" s="1"/>
  <c r="E82" i="21"/>
  <c r="W9" i="21"/>
  <c r="V10" i="21"/>
  <c r="V11" i="21" s="1"/>
  <c r="V14" i="21" s="1"/>
  <c r="F92" i="21"/>
  <c r="E93" i="21"/>
  <c r="S101" i="21"/>
  <c r="S64" i="21"/>
  <c r="S90" i="21" s="1"/>
  <c r="V50" i="21"/>
  <c r="V52" i="21" s="1"/>
  <c r="V51" i="21"/>
  <c r="U16" i="21"/>
  <c r="U60" i="21"/>
  <c r="U62" i="21" s="1"/>
  <c r="V53" i="21"/>
  <c r="T63" i="21"/>
  <c r="T24" i="21"/>
  <c r="T26" i="21" s="1"/>
  <c r="T56" i="21" s="1"/>
  <c r="T61" i="21" s="1"/>
  <c r="F102" i="21"/>
  <c r="F40" i="21"/>
  <c r="F80" i="21" s="1"/>
  <c r="F81" i="21" s="1"/>
  <c r="F41" i="21"/>
  <c r="F91" i="21" s="1"/>
  <c r="T54" i="21"/>
  <c r="T68" i="21" s="1"/>
  <c r="T79" i="21"/>
  <c r="F103" i="21"/>
  <c r="E104" i="21"/>
  <c r="U54" i="21"/>
  <c r="U68" i="21" s="1"/>
  <c r="U79" i="21"/>
  <c r="W46" i="21"/>
  <c r="H72" i="21"/>
  <c r="H74" i="21" s="1"/>
  <c r="H76" i="21" s="1"/>
  <c r="W49" i="21"/>
  <c r="W59" i="21" s="1"/>
  <c r="W7" i="21"/>
  <c r="X22" i="21"/>
  <c r="Y20" i="21"/>
  <c r="U61" i="21" l="1"/>
  <c r="W53" i="21"/>
  <c r="V60" i="21"/>
  <c r="V62" i="21" s="1"/>
  <c r="V16" i="21"/>
  <c r="V23" i="21"/>
  <c r="F82" i="21"/>
  <c r="X46" i="21"/>
  <c r="H38" i="21"/>
  <c r="H39" i="21" s="1"/>
  <c r="W10" i="21"/>
  <c r="X9" i="21"/>
  <c r="G103" i="21"/>
  <c r="F104" i="21"/>
  <c r="G102" i="21"/>
  <c r="G41" i="21"/>
  <c r="G91" i="21" s="1"/>
  <c r="G40" i="21"/>
  <c r="G80" i="21" s="1"/>
  <c r="G81" i="21" s="1"/>
  <c r="W51" i="21"/>
  <c r="W50" i="21"/>
  <c r="W52" i="21" s="1"/>
  <c r="Z20" i="21"/>
  <c r="Y22" i="21"/>
  <c r="V79" i="21"/>
  <c r="V54" i="21"/>
  <c r="V68" i="21" s="1"/>
  <c r="T101" i="21"/>
  <c r="T64" i="21"/>
  <c r="T90" i="21" s="1"/>
  <c r="U71" i="21"/>
  <c r="J73" i="21"/>
  <c r="G92" i="21"/>
  <c r="F93" i="21"/>
  <c r="T71" i="21"/>
  <c r="I73" i="21"/>
  <c r="I74" i="21" s="1"/>
  <c r="I76" i="21" s="1"/>
  <c r="U101" i="21"/>
  <c r="U64" i="21"/>
  <c r="U90" i="21" s="1"/>
  <c r="W11" i="21"/>
  <c r="W14" i="21" s="1"/>
  <c r="W23" i="21" s="1"/>
  <c r="X7" i="21"/>
  <c r="X49" i="21" s="1"/>
  <c r="X59" i="21" s="1"/>
  <c r="K72" i="21" l="1"/>
  <c r="G82" i="21"/>
  <c r="AA20" i="21"/>
  <c r="Z22" i="21"/>
  <c r="Y46" i="21"/>
  <c r="W54" i="21"/>
  <c r="W68" i="21" s="1"/>
  <c r="W79" i="21"/>
  <c r="X10" i="21"/>
  <c r="Y9" i="21"/>
  <c r="X51" i="21"/>
  <c r="X50" i="21"/>
  <c r="W63" i="21"/>
  <c r="W24" i="21"/>
  <c r="W26" i="21" s="1"/>
  <c r="W56" i="21" s="1"/>
  <c r="G93" i="21"/>
  <c r="V63" i="21"/>
  <c r="V24" i="21"/>
  <c r="V26" i="21" s="1"/>
  <c r="V56" i="21" s="1"/>
  <c r="V61" i="21" s="1"/>
  <c r="W60" i="21"/>
  <c r="W62" i="21" s="1"/>
  <c r="X53" i="21"/>
  <c r="X23" i="21"/>
  <c r="W16" i="21"/>
  <c r="J72" i="21"/>
  <c r="J74" i="21" s="1"/>
  <c r="J76" i="21" s="1"/>
  <c r="V71" i="21"/>
  <c r="L72" i="21" s="1"/>
  <c r="K73" i="21"/>
  <c r="K74" i="21" s="1"/>
  <c r="K76" i="21" s="1"/>
  <c r="G104" i="21"/>
  <c r="H102" i="21"/>
  <c r="H103" i="21" s="1"/>
  <c r="H40" i="21"/>
  <c r="H80" i="21" s="1"/>
  <c r="H81" i="21" s="1"/>
  <c r="H41" i="21"/>
  <c r="H91" i="21" s="1"/>
  <c r="H92" i="21" s="1"/>
  <c r="X11" i="21"/>
  <c r="X14" i="21" s="1"/>
  <c r="Y7" i="21"/>
  <c r="Y49" i="21" s="1"/>
  <c r="Y59" i="21" s="1"/>
  <c r="I38" i="21"/>
  <c r="I39" i="21" s="1"/>
  <c r="W61" i="21" l="1"/>
  <c r="K38" i="21"/>
  <c r="K39" i="21" s="1"/>
  <c r="K102" i="21" s="1"/>
  <c r="H93" i="21"/>
  <c r="W64" i="21"/>
  <c r="W90" i="21" s="1"/>
  <c r="W101" i="21"/>
  <c r="K40" i="21"/>
  <c r="K80" i="21" s="1"/>
  <c r="K41" i="21"/>
  <c r="K91" i="21" s="1"/>
  <c r="J38" i="21"/>
  <c r="J39" i="21" s="1"/>
  <c r="X63" i="21"/>
  <c r="X24" i="21"/>
  <c r="X26" i="21" s="1"/>
  <c r="X56" i="21" s="1"/>
  <c r="Z46" i="21"/>
  <c r="Y51" i="21"/>
  <c r="Y50" i="21"/>
  <c r="W71" i="21"/>
  <c r="L73" i="21"/>
  <c r="L74" i="21" s="1"/>
  <c r="L76" i="21" s="1"/>
  <c r="X60" i="21"/>
  <c r="X62" i="21" s="1"/>
  <c r="Y53" i="21"/>
  <c r="X16" i="21"/>
  <c r="AA22" i="21"/>
  <c r="AB20" i="21"/>
  <c r="AB22" i="21" s="1"/>
  <c r="H104" i="21"/>
  <c r="Y10" i="21"/>
  <c r="Y11" i="21" s="1"/>
  <c r="Y14" i="21" s="1"/>
  <c r="Z9" i="21"/>
  <c r="V101" i="21"/>
  <c r="V64" i="21"/>
  <c r="V90" i="21" s="1"/>
  <c r="X52" i="21"/>
  <c r="H82" i="21"/>
  <c r="Z7" i="21"/>
  <c r="Z49" i="21"/>
  <c r="Z59" i="21" s="1"/>
  <c r="I102" i="21"/>
  <c r="I103" i="21" s="1"/>
  <c r="I40" i="21"/>
  <c r="I80" i="21" s="1"/>
  <c r="I81" i="21" s="1"/>
  <c r="I41" i="21"/>
  <c r="I91" i="21" s="1"/>
  <c r="I92" i="21" s="1"/>
  <c r="I104" i="21" l="1"/>
  <c r="Y60" i="21"/>
  <c r="Y62" i="21" s="1"/>
  <c r="Z53" i="21"/>
  <c r="Y16" i="21"/>
  <c r="Y23" i="21"/>
  <c r="I82" i="21"/>
  <c r="I93" i="21"/>
  <c r="X54" i="21"/>
  <c r="X68" i="21" s="1"/>
  <c r="X79" i="21"/>
  <c r="L38" i="21"/>
  <c r="L39" i="21" s="1"/>
  <c r="Z51" i="21"/>
  <c r="Z50" i="21"/>
  <c r="AA7" i="21"/>
  <c r="AA49" i="21"/>
  <c r="AA59" i="21" s="1"/>
  <c r="AA46" i="21"/>
  <c r="M72" i="21"/>
  <c r="Y52" i="21"/>
  <c r="X61" i="21"/>
  <c r="J102" i="21"/>
  <c r="J103" i="21" s="1"/>
  <c r="J40" i="21"/>
  <c r="J80" i="21" s="1"/>
  <c r="J81" i="21" s="1"/>
  <c r="J41" i="21"/>
  <c r="J91" i="21" s="1"/>
  <c r="J92" i="21" s="1"/>
  <c r="Z10" i="21"/>
  <c r="Z11" i="21" s="1"/>
  <c r="Z14" i="21" s="1"/>
  <c r="AA9" i="21"/>
  <c r="AB46" i="21"/>
  <c r="K92" i="21" l="1"/>
  <c r="J93" i="21"/>
  <c r="K103" i="21"/>
  <c r="J104" i="21"/>
  <c r="Z60" i="21"/>
  <c r="Z62" i="21" s="1"/>
  <c r="AA53" i="21"/>
  <c r="Z16" i="21"/>
  <c r="Z23" i="21"/>
  <c r="L102" i="21"/>
  <c r="L41" i="21"/>
  <c r="L91" i="21" s="1"/>
  <c r="L40" i="21"/>
  <c r="L80" i="21" s="1"/>
  <c r="AA50" i="21"/>
  <c r="AA51" i="21"/>
  <c r="Y79" i="21"/>
  <c r="Y54" i="21"/>
  <c r="Y68" i="21" s="1"/>
  <c r="Z52" i="21"/>
  <c r="AB51" i="21"/>
  <c r="K81" i="21"/>
  <c r="J82" i="21"/>
  <c r="M73" i="21"/>
  <c r="M74" i="21" s="1"/>
  <c r="M76" i="21" s="1"/>
  <c r="X71" i="21"/>
  <c r="AB9" i="21"/>
  <c r="AB10" i="21" s="1"/>
  <c r="AA10" i="21"/>
  <c r="X64" i="21"/>
  <c r="X90" i="21" s="1"/>
  <c r="X101" i="21"/>
  <c r="AA11" i="21"/>
  <c r="AA14" i="21" s="1"/>
  <c r="AA23" i="21" s="1"/>
  <c r="AB7" i="21"/>
  <c r="AB49" i="21" s="1"/>
  <c r="AB59" i="21" s="1"/>
  <c r="Y63" i="21"/>
  <c r="Y24" i="21"/>
  <c r="Y26" i="21" s="1"/>
  <c r="Y56" i="21" s="1"/>
  <c r="Y61" i="21" s="1"/>
  <c r="M38" i="21" l="1"/>
  <c r="M39" i="21" s="1"/>
  <c r="AA63" i="21"/>
  <c r="AA24" i="21"/>
  <c r="AA26" i="21" s="1"/>
  <c r="AA56" i="21" s="1"/>
  <c r="N72" i="21"/>
  <c r="L92" i="21"/>
  <c r="K93" i="21"/>
  <c r="AB11" i="21"/>
  <c r="AB14" i="21" s="1"/>
  <c r="AA52" i="21"/>
  <c r="Z63" i="21"/>
  <c r="Z24" i="21"/>
  <c r="Z26" i="21" s="1"/>
  <c r="Z56" i="21" s="1"/>
  <c r="Z61" i="21" s="1"/>
  <c r="L103" i="21"/>
  <c r="K104" i="21"/>
  <c r="Y64" i="21"/>
  <c r="Y90" i="21" s="1"/>
  <c r="Y101" i="21"/>
  <c r="L81" i="21"/>
  <c r="K82" i="21"/>
  <c r="AB50" i="21"/>
  <c r="AB52" i="21" s="1"/>
  <c r="N73" i="21"/>
  <c r="Y71" i="21"/>
  <c r="O72" i="21" s="1"/>
  <c r="Z54" i="21"/>
  <c r="Z68" i="21" s="1"/>
  <c r="Z79" i="21"/>
  <c r="AA16" i="21"/>
  <c r="AB53" i="21"/>
  <c r="AA60" i="21"/>
  <c r="AA62" i="21" s="1"/>
  <c r="AB54" i="21" l="1"/>
  <c r="AB68" i="21" s="1"/>
  <c r="AB79" i="21"/>
  <c r="M102" i="21"/>
  <c r="M103" i="21" s="1"/>
  <c r="M40" i="21"/>
  <c r="M80" i="21" s="1"/>
  <c r="M81" i="21" s="1"/>
  <c r="M41" i="21"/>
  <c r="M91" i="21" s="1"/>
  <c r="M92" i="21" s="1"/>
  <c r="L104" i="21"/>
  <c r="L93" i="21"/>
  <c r="AA61" i="21"/>
  <c r="O73" i="21"/>
  <c r="Z71" i="21"/>
  <c r="P72" i="21" s="1"/>
  <c r="AB16" i="21"/>
  <c r="AB60" i="21"/>
  <c r="AB62" i="21" s="1"/>
  <c r="AA79" i="21"/>
  <c r="AA54" i="21"/>
  <c r="AA68" i="21" s="1"/>
  <c r="Z64" i="21"/>
  <c r="Z90" i="21" s="1"/>
  <c r="Z101" i="21"/>
  <c r="O74" i="21"/>
  <c r="O76" i="21" s="1"/>
  <c r="N74" i="21"/>
  <c r="N76" i="21" s="1"/>
  <c r="L82" i="21"/>
  <c r="AB23" i="21"/>
  <c r="M104" i="21" l="1"/>
  <c r="O38" i="21"/>
  <c r="O39" i="21" s="1"/>
  <c r="O102" i="21" s="1"/>
  <c r="AB71" i="21"/>
  <c r="Q73" i="21"/>
  <c r="P73" i="21"/>
  <c r="P74" i="21" s="1"/>
  <c r="P76" i="21" s="1"/>
  <c r="AA71" i="21"/>
  <c r="Q72" i="21" s="1"/>
  <c r="Q74" i="21" s="1"/>
  <c r="Q76" i="21" s="1"/>
  <c r="Q38" i="21" s="1"/>
  <c r="AA101" i="21"/>
  <c r="AA64" i="21"/>
  <c r="AA90" i="21" s="1"/>
  <c r="AB63" i="21"/>
  <c r="AB24" i="21"/>
  <c r="AB26" i="21" s="1"/>
  <c r="AB56" i="21" s="1"/>
  <c r="AB61" i="21" s="1"/>
  <c r="O40" i="21"/>
  <c r="O80" i="21" s="1"/>
  <c r="N38" i="21"/>
  <c r="N39" i="21" s="1"/>
  <c r="M93" i="21"/>
  <c r="M82" i="21"/>
  <c r="O41" i="21" l="1"/>
  <c r="O91" i="21" s="1"/>
  <c r="P38" i="21"/>
  <c r="P39" i="21" s="1"/>
  <c r="AB101" i="21"/>
  <c r="AB104" i="21" s="1"/>
  <c r="AB64" i="21"/>
  <c r="AB90" i="21" s="1"/>
  <c r="N102" i="21"/>
  <c r="N103" i="21" s="1"/>
  <c r="N40" i="21"/>
  <c r="N80" i="21" s="1"/>
  <c r="N81" i="21" s="1"/>
  <c r="N41" i="21"/>
  <c r="N91" i="21" s="1"/>
  <c r="N92" i="21" s="1"/>
  <c r="O103" i="21"/>
  <c r="O104" i="21" s="1"/>
  <c r="D106" i="21"/>
  <c r="D95" i="21"/>
  <c r="Q39" i="21"/>
  <c r="Q40" i="21" s="1"/>
  <c r="R38" i="21"/>
  <c r="S38" i="21" s="1"/>
  <c r="T38" i="21" s="1"/>
  <c r="U38" i="21" s="1"/>
  <c r="V38" i="21" s="1"/>
  <c r="W38" i="21" s="1"/>
  <c r="X38" i="21" s="1"/>
  <c r="Y38" i="21" s="1"/>
  <c r="Z38" i="21" s="1"/>
  <c r="AA38" i="21" s="1"/>
  <c r="Q41" i="21" l="1"/>
  <c r="Q91" i="21" s="1"/>
  <c r="R40" i="21"/>
  <c r="Q80" i="21"/>
  <c r="N104" i="21"/>
  <c r="O81" i="21"/>
  <c r="N82" i="21"/>
  <c r="R41" i="21"/>
  <c r="Q102" i="21"/>
  <c r="R39" i="21"/>
  <c r="O92" i="21"/>
  <c r="N93" i="21"/>
  <c r="P102" i="21"/>
  <c r="P41" i="21"/>
  <c r="P91" i="21" s="1"/>
  <c r="P40" i="21"/>
  <c r="P80" i="21" s="1"/>
  <c r="E84" i="21" s="1"/>
  <c r="E105" i="21"/>
  <c r="D84" i="21"/>
  <c r="E95" i="21" l="1"/>
  <c r="P103" i="21"/>
  <c r="P104" i="21" s="1"/>
  <c r="E106" i="21"/>
  <c r="D83" i="21"/>
  <c r="D85" i="21" s="1"/>
  <c r="D87" i="21" s="1"/>
  <c r="R80" i="21"/>
  <c r="S40" i="21"/>
  <c r="R91" i="21"/>
  <c r="S41" i="21"/>
  <c r="Q103" i="21"/>
  <c r="Q104" i="21" s="1"/>
  <c r="D105" i="21"/>
  <c r="D107" i="21" s="1"/>
  <c r="D109" i="21" s="1"/>
  <c r="P92" i="21"/>
  <c r="F95" i="21" s="1"/>
  <c r="O93" i="21"/>
  <c r="P81" i="21"/>
  <c r="F84" i="21" s="1"/>
  <c r="O82" i="21"/>
  <c r="S39" i="21"/>
  <c r="R102" i="21"/>
  <c r="D94" i="21"/>
  <c r="D96" i="21" s="1"/>
  <c r="D98" i="21" s="1"/>
  <c r="E107" i="21"/>
  <c r="E109" i="21" s="1"/>
  <c r="E83" i="21" l="1"/>
  <c r="E85" i="21" s="1"/>
  <c r="E87" i="21" s="1"/>
  <c r="F105" i="21"/>
  <c r="G105" i="21"/>
  <c r="F106" i="21"/>
  <c r="S102" i="21"/>
  <c r="T39" i="21"/>
  <c r="T40" i="21"/>
  <c r="S80" i="21"/>
  <c r="R103" i="21"/>
  <c r="R104" i="21" s="1"/>
  <c r="G106" i="21"/>
  <c r="T41" i="21"/>
  <c r="S91" i="21"/>
  <c r="E94" i="21"/>
  <c r="E96" i="21" s="1"/>
  <c r="E98" i="21" s="1"/>
  <c r="Q92" i="21"/>
  <c r="G95" i="21" s="1"/>
  <c r="P93" i="21"/>
  <c r="Q81" i="21"/>
  <c r="G84" i="21" s="1"/>
  <c r="P82" i="21"/>
  <c r="F83" i="21" s="1"/>
  <c r="F85" i="21" s="1"/>
  <c r="F87" i="21" s="1"/>
  <c r="F107" i="21" l="1"/>
  <c r="F109" i="21" s="1"/>
  <c r="S103" i="21"/>
  <c r="S104" i="21" s="1"/>
  <c r="H106" i="21"/>
  <c r="T102" i="21"/>
  <c r="U39" i="21"/>
  <c r="U40" i="21"/>
  <c r="T80" i="21"/>
  <c r="R92" i="21"/>
  <c r="Q93" i="21"/>
  <c r="F94" i="21"/>
  <c r="F96" i="21" s="1"/>
  <c r="F98" i="21" s="1"/>
  <c r="G107" i="21"/>
  <c r="G109" i="21" s="1"/>
  <c r="H105" i="21"/>
  <c r="R81" i="21"/>
  <c r="H84" i="21" s="1"/>
  <c r="Q82" i="21"/>
  <c r="T91" i="21"/>
  <c r="U41" i="21"/>
  <c r="H95" i="21"/>
  <c r="G94" i="21" l="1"/>
  <c r="G96" i="21" s="1"/>
  <c r="G98" i="21" s="1"/>
  <c r="I105" i="21"/>
  <c r="S81" i="21"/>
  <c r="I84" i="21" s="1"/>
  <c r="R82" i="21"/>
  <c r="H83" i="21" s="1"/>
  <c r="H85" i="21" s="1"/>
  <c r="H87" i="21" s="1"/>
  <c r="G83" i="21"/>
  <c r="G85" i="21" s="1"/>
  <c r="G87" i="21" s="1"/>
  <c r="T103" i="21"/>
  <c r="T104" i="21" s="1"/>
  <c r="J105" i="21" s="1"/>
  <c r="I106" i="21"/>
  <c r="U102" i="21"/>
  <c r="V39" i="21"/>
  <c r="U91" i="21"/>
  <c r="V41" i="21"/>
  <c r="U80" i="21"/>
  <c r="V40" i="21"/>
  <c r="S92" i="21"/>
  <c r="R93" i="21"/>
  <c r="H107" i="21"/>
  <c r="H109" i="21" s="1"/>
  <c r="V80" i="21" l="1"/>
  <c r="W40" i="21"/>
  <c r="T92" i="21"/>
  <c r="S93" i="21"/>
  <c r="U103" i="21"/>
  <c r="U104" i="21" s="1"/>
  <c r="K105" i="21" s="1"/>
  <c r="J106" i="21"/>
  <c r="V102" i="21"/>
  <c r="W39" i="21"/>
  <c r="I95" i="21"/>
  <c r="V91" i="21"/>
  <c r="W41" i="21"/>
  <c r="I107" i="21"/>
  <c r="I109" i="21" s="1"/>
  <c r="H94" i="21"/>
  <c r="H96" i="21" s="1"/>
  <c r="H98" i="21" s="1"/>
  <c r="T81" i="21"/>
  <c r="S82" i="21"/>
  <c r="J107" i="21"/>
  <c r="J109" i="21" s="1"/>
  <c r="U81" i="21" l="1"/>
  <c r="T82" i="21"/>
  <c r="J83" i="21" s="1"/>
  <c r="W80" i="21"/>
  <c r="X40" i="21"/>
  <c r="I83" i="21"/>
  <c r="I85" i="21" s="1"/>
  <c r="I87" i="21" s="1"/>
  <c r="W91" i="21"/>
  <c r="X41" i="21"/>
  <c r="U92" i="21"/>
  <c r="K95" i="21" s="1"/>
  <c r="T93" i="21"/>
  <c r="I94" i="21"/>
  <c r="I96" i="21" s="1"/>
  <c r="I98" i="21" s="1"/>
  <c r="J95" i="21"/>
  <c r="V103" i="21"/>
  <c r="V104" i="21" s="1"/>
  <c r="L105" i="21" s="1"/>
  <c r="K106" i="21"/>
  <c r="K107" i="21" s="1"/>
  <c r="K109" i="21" s="1"/>
  <c r="X39" i="21"/>
  <c r="W102" i="21"/>
  <c r="J84" i="21"/>
  <c r="J85" i="21" l="1"/>
  <c r="J87" i="21" s="1"/>
  <c r="V92" i="21"/>
  <c r="U93" i="21"/>
  <c r="K94" i="21" s="1"/>
  <c r="K96" i="21" s="1"/>
  <c r="K98" i="21" s="1"/>
  <c r="V81" i="21"/>
  <c r="L84" i="21" s="1"/>
  <c r="U82" i="21"/>
  <c r="K83" i="21" s="1"/>
  <c r="X80" i="21"/>
  <c r="Y40" i="21"/>
  <c r="X102" i="21"/>
  <c r="Y39" i="21"/>
  <c r="K84" i="21"/>
  <c r="J94" i="21"/>
  <c r="J96" i="21" s="1"/>
  <c r="J98" i="21" s="1"/>
  <c r="W103" i="21"/>
  <c r="W104" i="21" s="1"/>
  <c r="M105" i="21" s="1"/>
  <c r="L106" i="21"/>
  <c r="L107" i="21" s="1"/>
  <c r="L109" i="21" s="1"/>
  <c r="X91" i="21"/>
  <c r="Y41" i="21"/>
  <c r="Y102" i="21" l="1"/>
  <c r="Z39" i="21"/>
  <c r="W81" i="21"/>
  <c r="V82" i="21"/>
  <c r="L83" i="21" s="1"/>
  <c r="L85" i="21" s="1"/>
  <c r="L87" i="21" s="1"/>
  <c r="X103" i="21"/>
  <c r="X104" i="21" s="1"/>
  <c r="N105" i="21" s="1"/>
  <c r="M106" i="21"/>
  <c r="Z40" i="21"/>
  <c r="Y80" i="21"/>
  <c r="K85" i="21"/>
  <c r="K87" i="21" s="1"/>
  <c r="W92" i="21"/>
  <c r="V93" i="21"/>
  <c r="L94" i="21" s="1"/>
  <c r="Y91" i="21"/>
  <c r="Z41" i="21"/>
  <c r="L95" i="21"/>
  <c r="M107" i="21"/>
  <c r="M109" i="21" s="1"/>
  <c r="Z80" i="21" l="1"/>
  <c r="AA40" i="21"/>
  <c r="AA80" i="21" s="1"/>
  <c r="Y103" i="21"/>
  <c r="Y104" i="21" s="1"/>
  <c r="N106" i="21"/>
  <c r="N107" i="21" s="1"/>
  <c r="N109" i="21" s="1"/>
  <c r="AA39" i="21"/>
  <c r="AA102" i="21" s="1"/>
  <c r="AA103" i="21" s="1"/>
  <c r="AA104" i="21" s="1"/>
  <c r="Z102" i="21"/>
  <c r="Z103" i="21" s="1"/>
  <c r="Z104" i="21" s="1"/>
  <c r="X81" i="21"/>
  <c r="W82" i="21"/>
  <c r="M83" i="21" s="1"/>
  <c r="L96" i="21"/>
  <c r="L98" i="21" s="1"/>
  <c r="M84" i="21"/>
  <c r="X92" i="21"/>
  <c r="W93" i="21"/>
  <c r="N84" i="21"/>
  <c r="Z91" i="21"/>
  <c r="AA41" i="21"/>
  <c r="AA91" i="21" s="1"/>
  <c r="M95" i="21"/>
  <c r="N95" i="21"/>
  <c r="Y92" i="21" l="1"/>
  <c r="X93" i="21"/>
  <c r="N94" i="21" s="1"/>
  <c r="N96" i="21" s="1"/>
  <c r="N98" i="21" s="1"/>
  <c r="M94" i="21"/>
  <c r="M96" i="21" s="1"/>
  <c r="M98" i="21" s="1"/>
  <c r="Y81" i="21"/>
  <c r="X82" i="21"/>
  <c r="N83" i="21" s="1"/>
  <c r="N85" i="21" s="1"/>
  <c r="N87" i="21" s="1"/>
  <c r="M85" i="21"/>
  <c r="M87" i="21" s="1"/>
  <c r="Z92" i="21" l="1"/>
  <c r="Y93" i="21"/>
  <c r="O94" i="21" s="1"/>
  <c r="Z81" i="21"/>
  <c r="Y82" i="21"/>
  <c r="O95" i="21"/>
  <c r="O96" i="21" l="1"/>
  <c r="O98" i="21" s="1"/>
  <c r="AA92" i="21"/>
  <c r="Z93" i="21"/>
  <c r="P94" i="21" s="1"/>
  <c r="P95" i="21"/>
  <c r="AA81" i="21"/>
  <c r="Z82" i="21"/>
  <c r="P96" i="21" l="1"/>
  <c r="P98" i="21" s="1"/>
  <c r="AB92" i="21"/>
  <c r="AB93" i="21" s="1"/>
  <c r="AA93" i="21"/>
  <c r="Q94" i="21" s="1"/>
  <c r="Q95" i="21"/>
  <c r="AB81" i="21"/>
  <c r="AB82" i="21" s="1"/>
  <c r="AA82" i="21"/>
  <c r="Q96" i="21" l="1"/>
  <c r="Q98" i="21" s="1"/>
  <c r="C36" i="12"/>
  <c r="D36" i="12" s="1"/>
  <c r="E36" i="12" s="1"/>
  <c r="F36" i="12" s="1"/>
  <c r="G36" i="12" s="1"/>
  <c r="H36" i="12" s="1"/>
  <c r="I36" i="12" s="1"/>
  <c r="J36" i="12" s="1"/>
  <c r="K36" i="12" s="1"/>
  <c r="L36" i="12" s="1"/>
  <c r="C35" i="12"/>
  <c r="D35" i="12" s="1"/>
  <c r="D32" i="12"/>
  <c r="E32" i="12" s="1"/>
  <c r="F32" i="12" s="1"/>
  <c r="G32" i="12" s="1"/>
  <c r="H32" i="12" s="1"/>
  <c r="I32" i="12" s="1"/>
  <c r="J32" i="12" s="1"/>
  <c r="K32" i="12" s="1"/>
  <c r="L32" i="12" s="1"/>
  <c r="C21" i="12"/>
  <c r="D21" i="12" s="1"/>
  <c r="E21" i="12" s="1"/>
  <c r="F21" i="12" s="1"/>
  <c r="G21" i="12" s="1"/>
  <c r="H21" i="12" s="1"/>
  <c r="I21" i="12" s="1"/>
  <c r="J21" i="12" s="1"/>
  <c r="K21" i="12" s="1"/>
  <c r="L21" i="12" s="1"/>
  <c r="C20" i="12"/>
  <c r="D20" i="12" s="1"/>
  <c r="E20" i="12" s="1"/>
  <c r="F20" i="12" s="1"/>
  <c r="Q17" i="12"/>
  <c r="R17" i="12" s="1"/>
  <c r="S17" i="12" s="1"/>
  <c r="T17" i="12" s="1"/>
  <c r="D17" i="12"/>
  <c r="E17" i="12" s="1"/>
  <c r="F17" i="12" s="1"/>
  <c r="G17" i="12" s="1"/>
  <c r="H17" i="12" s="1"/>
  <c r="I17" i="12" s="1"/>
  <c r="J17" i="12" s="1"/>
  <c r="K17" i="12" s="1"/>
  <c r="L17" i="12" s="1"/>
  <c r="D9" i="12"/>
  <c r="E9" i="12" s="1"/>
  <c r="F9" i="12" s="1"/>
  <c r="G9" i="12" s="1"/>
  <c r="H9" i="12" s="1"/>
  <c r="I9" i="12" s="1"/>
  <c r="J9" i="12" s="1"/>
  <c r="K9" i="12" s="1"/>
  <c r="L9" i="12" s="1"/>
  <c r="C9" i="12"/>
  <c r="C8" i="12"/>
  <c r="D8" i="12" s="1"/>
  <c r="D5" i="12"/>
  <c r="E5" i="12" s="1"/>
  <c r="F5" i="12" s="1"/>
  <c r="G5" i="12" s="1"/>
  <c r="H5" i="12" s="1"/>
  <c r="I5" i="12" s="1"/>
  <c r="J5" i="12" s="1"/>
  <c r="K5" i="12" s="1"/>
  <c r="L5" i="12" s="1"/>
  <c r="C22" i="12" l="1"/>
  <c r="C25" i="12" s="1"/>
  <c r="C28" i="12" s="1"/>
  <c r="D37" i="12"/>
  <c r="E35" i="12"/>
  <c r="E8" i="12"/>
  <c r="D10" i="12"/>
  <c r="F22" i="12"/>
  <c r="F25" i="12" s="1"/>
  <c r="F28" i="12" s="1"/>
  <c r="G20" i="12"/>
  <c r="D22" i="12"/>
  <c r="D25" i="12" s="1"/>
  <c r="D28" i="12" s="1"/>
  <c r="C10" i="12"/>
  <c r="E22" i="12"/>
  <c r="E25" i="12" s="1"/>
  <c r="E28" i="12" s="1"/>
  <c r="C37" i="12"/>
  <c r="C41" i="12" s="1"/>
  <c r="C44" i="12" s="1"/>
  <c r="G22" i="12" l="1"/>
  <c r="H20" i="12"/>
  <c r="D41" i="12"/>
  <c r="D44" i="12" s="1"/>
  <c r="D40" i="12"/>
  <c r="F35" i="12"/>
  <c r="E37" i="12"/>
  <c r="F8" i="12"/>
  <c r="E10" i="12"/>
  <c r="E41" i="12" l="1"/>
  <c r="E44" i="12" s="1"/>
  <c r="E40" i="12"/>
  <c r="F10" i="12"/>
  <c r="G8" i="12"/>
  <c r="H22" i="12"/>
  <c r="I20" i="12"/>
  <c r="F37" i="12"/>
  <c r="G35" i="12"/>
  <c r="H35" i="12" l="1"/>
  <c r="G37" i="12"/>
  <c r="G10" i="12"/>
  <c r="H8" i="12"/>
  <c r="J20" i="12"/>
  <c r="I22" i="12"/>
  <c r="F41" i="12"/>
  <c r="F44" i="12" s="1"/>
  <c r="F40" i="12"/>
  <c r="H10" i="12" l="1"/>
  <c r="I8" i="12"/>
  <c r="J22" i="12"/>
  <c r="K20" i="12"/>
  <c r="H37" i="12"/>
  <c r="I35" i="12"/>
  <c r="G39" i="12"/>
  <c r="G41" i="12" s="1"/>
  <c r="G44" i="12" s="1"/>
  <c r="K22" i="12" l="1"/>
  <c r="L20" i="12"/>
  <c r="L22" i="12" s="1"/>
  <c r="I37" i="12"/>
  <c r="J35" i="12"/>
  <c r="J8" i="12"/>
  <c r="I10" i="12"/>
  <c r="H39" i="12"/>
  <c r="H41" i="12" s="1"/>
  <c r="H44" i="12" s="1"/>
  <c r="I39" i="12" l="1"/>
  <c r="I41" i="12" s="1"/>
  <c r="I44" i="12" s="1"/>
  <c r="K35" i="12"/>
  <c r="J37" i="12"/>
  <c r="J10" i="12"/>
  <c r="K8" i="12"/>
  <c r="L35" i="12" l="1"/>
  <c r="L37" i="12" s="1"/>
  <c r="K37" i="12"/>
  <c r="J39" i="12"/>
  <c r="J41" i="12" s="1"/>
  <c r="J44" i="12" s="1"/>
  <c r="L8" i="12"/>
  <c r="L10" i="12" s="1"/>
  <c r="C13" i="12" s="1"/>
  <c r="K10" i="12"/>
  <c r="L39" i="12" l="1"/>
  <c r="L41" i="12" s="1"/>
  <c r="L44" i="12" s="1"/>
  <c r="K39" i="12"/>
  <c r="K41" i="12" s="1"/>
  <c r="K44" i="12" s="1"/>
  <c r="C47" i="12" l="1"/>
  <c r="H37" i="1" l="1"/>
  <c r="G37" i="1"/>
  <c r="F37" i="1"/>
  <c r="I31" i="1"/>
  <c r="I33" i="1" s="1"/>
  <c r="H31" i="1"/>
  <c r="G31" i="1"/>
  <c r="F31" i="1"/>
  <c r="I29" i="1"/>
  <c r="H29" i="1"/>
  <c r="G29" i="1"/>
  <c r="F29" i="1"/>
  <c r="G28" i="1"/>
  <c r="B7" i="1"/>
  <c r="C7" i="1"/>
  <c r="C14" i="1" s="1"/>
  <c r="D7" i="1"/>
  <c r="D14" i="1" s="1"/>
  <c r="E7" i="1"/>
  <c r="E14" i="1" s="1"/>
  <c r="I7" i="1"/>
  <c r="H7" i="1"/>
  <c r="G7" i="1"/>
  <c r="F7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I32" i="1" s="1"/>
  <c r="D87" i="1"/>
  <c r="H32" i="1" s="1"/>
  <c r="C87" i="1"/>
  <c r="G32" i="1" s="1"/>
  <c r="B87" i="1"/>
  <c r="E86" i="1"/>
  <c r="D86" i="1"/>
  <c r="C86" i="1"/>
  <c r="B86" i="1"/>
  <c r="F50" i="4"/>
  <c r="G50" i="4"/>
  <c r="H50" i="4"/>
  <c r="I50" i="4"/>
  <c r="G33" i="1" l="1"/>
  <c r="G38" i="1"/>
  <c r="H33" i="1"/>
  <c r="F32" i="1"/>
  <c r="F33" i="1" s="1"/>
  <c r="B14" i="1"/>
  <c r="F14" i="1" s="1"/>
  <c r="H23" i="1" s="1"/>
  <c r="G23" i="1"/>
  <c r="F23" i="1"/>
  <c r="F28" i="1"/>
  <c r="F30" i="1" s="1"/>
  <c r="G30" i="1"/>
  <c r="I28" i="1"/>
  <c r="I30" i="1" s="1"/>
  <c r="H28" i="1"/>
  <c r="H30" i="1" s="1"/>
  <c r="F38" i="1" l="1"/>
  <c r="F39" i="1" s="1"/>
  <c r="G39" i="1" s="1"/>
  <c r="I38" i="1"/>
  <c r="H38" i="1"/>
  <c r="H39" i="1" l="1"/>
  <c r="I39" i="1" s="1"/>
  <c r="D22" i="8" l="1"/>
  <c r="D21" i="8"/>
  <c r="D18" i="8"/>
  <c r="E16" i="8"/>
  <c r="E15" i="8"/>
  <c r="E11" i="8"/>
  <c r="E10" i="8"/>
  <c r="E6" i="8"/>
  <c r="E5" i="8"/>
  <c r="H40" i="10"/>
  <c r="I40" i="10" s="1"/>
  <c r="J39" i="10" s="1"/>
  <c r="F40" i="10"/>
  <c r="E40" i="10"/>
  <c r="I39" i="10"/>
  <c r="H39" i="10"/>
  <c r="F39" i="10"/>
  <c r="E39" i="10"/>
  <c r="J32" i="10"/>
  <c r="I32" i="10"/>
  <c r="H32" i="10"/>
  <c r="G32" i="10"/>
  <c r="J31" i="10"/>
  <c r="I31" i="10"/>
  <c r="H31" i="10"/>
  <c r="G31" i="10"/>
  <c r="J30" i="10"/>
  <c r="I30" i="10"/>
  <c r="H30" i="10"/>
  <c r="G30" i="10"/>
  <c r="J29" i="10"/>
  <c r="J34" i="10" s="1"/>
  <c r="J41" i="10" s="1"/>
  <c r="J43" i="10" s="1"/>
  <c r="I29" i="10"/>
  <c r="I34" i="10" s="1"/>
  <c r="I41" i="10" s="1"/>
  <c r="I43" i="10" s="1"/>
  <c r="H29" i="10"/>
  <c r="H34" i="10" s="1"/>
  <c r="H41" i="10" s="1"/>
  <c r="G29" i="10"/>
  <c r="G34" i="10" s="1"/>
  <c r="G41" i="10" s="1"/>
  <c r="I28" i="10"/>
  <c r="J27" i="10" s="1"/>
  <c r="H28" i="10"/>
  <c r="F28" i="10"/>
  <c r="E28" i="10"/>
  <c r="I27" i="10"/>
  <c r="H27" i="10"/>
  <c r="F27" i="10"/>
  <c r="E27" i="10"/>
  <c r="J22" i="10"/>
  <c r="I22" i="10"/>
  <c r="H22" i="10"/>
  <c r="G22" i="10"/>
  <c r="H16" i="10"/>
  <c r="I16" i="10" s="1"/>
  <c r="J15" i="10" s="1"/>
  <c r="F16" i="10"/>
  <c r="E16" i="10"/>
  <c r="F15" i="10" s="1"/>
  <c r="H15" i="10"/>
  <c r="E15" i="10"/>
  <c r="J11" i="10"/>
  <c r="I11" i="10"/>
  <c r="H11" i="10"/>
  <c r="G11" i="10"/>
  <c r="F11" i="10"/>
  <c r="E11" i="10"/>
  <c r="D11" i="10"/>
  <c r="C11" i="10"/>
  <c r="H5" i="10"/>
  <c r="I5" i="10" s="1"/>
  <c r="J4" i="10" s="1"/>
  <c r="F5" i="10"/>
  <c r="E5" i="10"/>
  <c r="F4" i="10" s="1"/>
  <c r="H4" i="10"/>
  <c r="E4" i="10"/>
  <c r="C26" i="8"/>
  <c r="G41" i="5"/>
  <c r="F41" i="5"/>
  <c r="E41" i="5"/>
  <c r="D41" i="5"/>
  <c r="H40" i="5"/>
  <c r="H39" i="5"/>
  <c r="H38" i="5"/>
  <c r="H37" i="5"/>
  <c r="G36" i="5"/>
  <c r="G42" i="5" s="1"/>
  <c r="F36" i="5"/>
  <c r="F42" i="5" s="1"/>
  <c r="E36" i="5"/>
  <c r="E42" i="5" s="1"/>
  <c r="D36" i="5"/>
  <c r="D42" i="5" s="1"/>
  <c r="H35" i="5"/>
  <c r="I35" i="5" s="1"/>
  <c r="H34" i="5"/>
  <c r="I34" i="5" s="1"/>
  <c r="F32" i="5"/>
  <c r="G32" i="5" s="1"/>
  <c r="E32" i="5"/>
  <c r="G28" i="5"/>
  <c r="F28" i="5"/>
  <c r="E28" i="5"/>
  <c r="D28" i="5"/>
  <c r="H27" i="5"/>
  <c r="H26" i="5"/>
  <c r="H25" i="5"/>
  <c r="H24" i="5"/>
  <c r="N27" i="5" s="1"/>
  <c r="G23" i="5"/>
  <c r="G29" i="5" s="1"/>
  <c r="F23" i="5"/>
  <c r="E23" i="5"/>
  <c r="D23" i="5"/>
  <c r="H22" i="5"/>
  <c r="H21" i="5"/>
  <c r="I21" i="5" s="1"/>
  <c r="Q19" i="5"/>
  <c r="E19" i="5"/>
  <c r="F19" i="5" s="1"/>
  <c r="G19" i="5" s="1"/>
  <c r="D14" i="5"/>
  <c r="D15" i="5" s="1"/>
  <c r="H13" i="5"/>
  <c r="P12" i="5"/>
  <c r="O12" i="5"/>
  <c r="N12" i="5"/>
  <c r="M12" i="5"/>
  <c r="G12" i="5"/>
  <c r="G14" i="5" s="1"/>
  <c r="F12" i="5"/>
  <c r="F14" i="5" s="1"/>
  <c r="E12" i="5"/>
  <c r="E14" i="5" s="1"/>
  <c r="E15" i="5" s="1"/>
  <c r="H11" i="5"/>
  <c r="H10" i="5"/>
  <c r="G9" i="5"/>
  <c r="F9" i="5"/>
  <c r="E9" i="5"/>
  <c r="N8" i="5"/>
  <c r="O8" i="5" s="1"/>
  <c r="P8" i="5" s="1"/>
  <c r="H8" i="5"/>
  <c r="I8" i="5" s="1"/>
  <c r="H7" i="5"/>
  <c r="I7" i="5" s="1"/>
  <c r="E5" i="5"/>
  <c r="F5" i="5" s="1"/>
  <c r="G5" i="5" s="1"/>
  <c r="J50" i="4"/>
  <c r="J44" i="4"/>
  <c r="J45" i="4" s="1"/>
  <c r="J47" i="4" s="1"/>
  <c r="J51" i="4" s="1"/>
  <c r="I44" i="4"/>
  <c r="J43" i="4"/>
  <c r="I43" i="4"/>
  <c r="J41" i="4"/>
  <c r="I41" i="4"/>
  <c r="H40" i="4"/>
  <c r="H44" i="4" s="1"/>
  <c r="G40" i="4"/>
  <c r="G44" i="4" s="1"/>
  <c r="F40" i="4"/>
  <c r="F44" i="4" s="1"/>
  <c r="H39" i="4"/>
  <c r="H41" i="4" s="1"/>
  <c r="G39" i="4"/>
  <c r="F39" i="4"/>
  <c r="J33" i="4"/>
  <c r="I33" i="4"/>
  <c r="H33" i="4"/>
  <c r="G33" i="4"/>
  <c r="F33" i="4"/>
  <c r="J32" i="4"/>
  <c r="I32" i="4"/>
  <c r="H32" i="4"/>
  <c r="H34" i="4" s="1"/>
  <c r="G32" i="4"/>
  <c r="F32" i="4"/>
  <c r="F34" i="4" s="1"/>
  <c r="J30" i="4"/>
  <c r="I30" i="4"/>
  <c r="H30" i="4"/>
  <c r="G30" i="4"/>
  <c r="F30" i="4"/>
  <c r="H22" i="4"/>
  <c r="G22" i="4"/>
  <c r="F22" i="4"/>
  <c r="H16" i="4"/>
  <c r="G16" i="4"/>
  <c r="F16" i="4"/>
  <c r="E16" i="4"/>
  <c r="D16" i="4"/>
  <c r="H15" i="4"/>
  <c r="H17" i="4" s="1"/>
  <c r="G15" i="4"/>
  <c r="F15" i="4"/>
  <c r="E15" i="4"/>
  <c r="D15" i="4"/>
  <c r="D17" i="4" s="1"/>
  <c r="H13" i="4"/>
  <c r="G13" i="4"/>
  <c r="F13" i="4"/>
  <c r="E13" i="4"/>
  <c r="D13" i="4"/>
  <c r="E55" i="3"/>
  <c r="D55" i="3"/>
  <c r="C55" i="3"/>
  <c r="G54" i="3"/>
  <c r="B53" i="3"/>
  <c r="G53" i="3" s="1"/>
  <c r="G52" i="3"/>
  <c r="F50" i="3"/>
  <c r="G50" i="3" s="1"/>
  <c r="G49" i="3"/>
  <c r="G40" i="3"/>
  <c r="F38" i="3"/>
  <c r="G38" i="3" s="1"/>
  <c r="F36" i="3"/>
  <c r="E36" i="3"/>
  <c r="D36" i="3"/>
  <c r="G36" i="3" s="1"/>
  <c r="G24" i="3"/>
  <c r="G23" i="3"/>
  <c r="H20" i="3"/>
  <c r="H21" i="3" s="1"/>
  <c r="G20" i="3"/>
  <c r="G19" i="3"/>
  <c r="H10" i="3"/>
  <c r="H9" i="3"/>
  <c r="C7" i="3"/>
  <c r="H7" i="3" s="1"/>
  <c r="H6" i="3"/>
  <c r="H5" i="3"/>
  <c r="C118" i="2"/>
  <c r="D114" i="2" s="1"/>
  <c r="C113" i="2"/>
  <c r="D111" i="2"/>
  <c r="D110" i="2"/>
  <c r="G78" i="2"/>
  <c r="G80" i="2" s="1"/>
  <c r="F78" i="2"/>
  <c r="F80" i="2" s="1"/>
  <c r="E78" i="2"/>
  <c r="E80" i="2" s="1"/>
  <c r="D78" i="2"/>
  <c r="D80" i="2" s="1"/>
  <c r="C78" i="2"/>
  <c r="C83" i="2" s="1"/>
  <c r="C73" i="2"/>
  <c r="D71" i="2"/>
  <c r="D70" i="2"/>
  <c r="E69" i="2"/>
  <c r="E68" i="2"/>
  <c r="E67" i="2"/>
  <c r="H66" i="2"/>
  <c r="E66" i="2"/>
  <c r="E65" i="2"/>
  <c r="I59" i="2"/>
  <c r="H59" i="2"/>
  <c r="G59" i="2"/>
  <c r="F59" i="2"/>
  <c r="E59" i="2"/>
  <c r="D59" i="2"/>
  <c r="C59" i="2"/>
  <c r="B46" i="2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C26" i="2"/>
  <c r="C25" i="2"/>
  <c r="C24" i="2"/>
  <c r="C21" i="2"/>
  <c r="D21" i="2"/>
  <c r="E21" i="2"/>
  <c r="F21" i="2"/>
  <c r="G21" i="2"/>
  <c r="C14" i="2"/>
  <c r="D12" i="2"/>
  <c r="D11" i="2"/>
  <c r="E10" i="2"/>
  <c r="E9" i="2"/>
  <c r="E8" i="2"/>
  <c r="D7" i="2"/>
  <c r="D6" i="2"/>
  <c r="H21" i="2" l="1"/>
  <c r="C27" i="2" s="1"/>
  <c r="G17" i="4"/>
  <c r="F41" i="4"/>
  <c r="G34" i="4"/>
  <c r="H8" i="3"/>
  <c r="B55" i="3"/>
  <c r="F17" i="4"/>
  <c r="F15" i="5"/>
  <c r="I22" i="5"/>
  <c r="I15" i="10"/>
  <c r="H24" i="3"/>
  <c r="H25" i="3" s="1"/>
  <c r="G37" i="3" s="1"/>
  <c r="G41" i="3" s="1"/>
  <c r="I34" i="4"/>
  <c r="G41" i="4"/>
  <c r="E29" i="5"/>
  <c r="E73" i="2"/>
  <c r="D73" i="2"/>
  <c r="C98" i="2" s="1"/>
  <c r="D113" i="2"/>
  <c r="D115" i="2" s="1"/>
  <c r="E14" i="2"/>
  <c r="D14" i="2"/>
  <c r="C85" i="2"/>
  <c r="C88" i="2" s="1"/>
  <c r="C94" i="2" s="1"/>
  <c r="C29" i="2"/>
  <c r="C35" i="2" s="1"/>
  <c r="D35" i="2" s="1"/>
  <c r="E35" i="2" s="1"/>
  <c r="F35" i="2" s="1"/>
  <c r="G35" i="2" s="1"/>
  <c r="H43" i="10"/>
  <c r="C80" i="2"/>
  <c r="H80" i="2" s="1"/>
  <c r="C86" i="2" s="1"/>
  <c r="G43" i="10"/>
  <c r="F29" i="5"/>
  <c r="H23" i="5"/>
  <c r="N32" i="5" s="1"/>
  <c r="P13" i="5"/>
  <c r="P15" i="5" s="1"/>
  <c r="P20" i="5" s="1"/>
  <c r="H36" i="5"/>
  <c r="I36" i="5" s="1"/>
  <c r="G15" i="5"/>
  <c r="H28" i="5"/>
  <c r="Q12" i="5"/>
  <c r="D29" i="5"/>
  <c r="H41" i="5"/>
  <c r="G43" i="4"/>
  <c r="G45" i="4" s="1"/>
  <c r="G47" i="4" s="1"/>
  <c r="G51" i="4" s="1"/>
  <c r="E17" i="4"/>
  <c r="H19" i="4" s="1"/>
  <c r="J34" i="4"/>
  <c r="I45" i="4"/>
  <c r="I47" i="4" s="1"/>
  <c r="I51" i="4" s="1"/>
  <c r="F43" i="4"/>
  <c r="F45" i="4" s="1"/>
  <c r="F47" i="4" s="1"/>
  <c r="F51" i="4" s="1"/>
  <c r="F52" i="4" s="1"/>
  <c r="I4" i="10"/>
  <c r="O15" i="5"/>
  <c r="O20" i="5" s="1"/>
  <c r="H14" i="5"/>
  <c r="O27" i="5" s="1"/>
  <c r="H9" i="5"/>
  <c r="O13" i="5"/>
  <c r="H12" i="5"/>
  <c r="N13" i="5"/>
  <c r="N15" i="5" s="1"/>
  <c r="N20" i="5" s="1"/>
  <c r="M13" i="5"/>
  <c r="G19" i="4"/>
  <c r="H43" i="4"/>
  <c r="H45" i="4" s="1"/>
  <c r="H47" i="4" s="1"/>
  <c r="H51" i="4" s="1"/>
  <c r="G55" i="3"/>
  <c r="F55" i="3"/>
  <c r="C84" i="2"/>
  <c r="F19" i="4" l="1"/>
  <c r="F20" i="4" s="1"/>
  <c r="G20" i="4" s="1"/>
  <c r="H20" i="4" s="1"/>
  <c r="H12" i="3"/>
  <c r="H13" i="3" s="1"/>
  <c r="H29" i="5"/>
  <c r="N30" i="5" s="1"/>
  <c r="H37" i="3"/>
  <c r="H11" i="3"/>
  <c r="H15" i="3"/>
  <c r="C37" i="2"/>
  <c r="C39" i="2" s="1"/>
  <c r="H42" i="5"/>
  <c r="I23" i="5"/>
  <c r="G52" i="4"/>
  <c r="H52" i="4" s="1"/>
  <c r="I52" i="4" s="1"/>
  <c r="J52" i="4" s="1"/>
  <c r="H15" i="5"/>
  <c r="O28" i="5" s="1"/>
  <c r="I9" i="5"/>
  <c r="Q13" i="5"/>
  <c r="M15" i="5"/>
  <c r="G58" i="3"/>
  <c r="G60" i="3" s="1"/>
  <c r="D94" i="2"/>
  <c r="E94" i="2" s="1"/>
  <c r="F94" i="2" s="1"/>
  <c r="G94" i="2" s="1"/>
  <c r="M20" i="5" l="1"/>
  <c r="Q15" i="5"/>
  <c r="Q20" i="5" s="1"/>
  <c r="C96" i="2"/>
  <c r="C99" i="2" s="1"/>
  <c r="O33" i="5" l="1"/>
  <c r="Q21" i="5"/>
  <c r="O29" i="5"/>
  <c r="O30" i="5"/>
  <c r="O32" i="5"/>
  <c r="O34" i="5" l="1"/>
</calcChain>
</file>

<file path=xl/sharedStrings.xml><?xml version="1.0" encoding="utf-8"?>
<sst xmlns="http://schemas.openxmlformats.org/spreadsheetml/2006/main" count="3150" uniqueCount="1282">
  <si>
    <t>BANCO URANO SA</t>
  </si>
  <si>
    <t xml:space="preserve">SOLUCIÓN PROPUESTA </t>
  </si>
  <si>
    <t>MEDIA</t>
  </si>
  <si>
    <t>MEDIA PON</t>
  </si>
  <si>
    <t xml:space="preserve">Clientes pasivo perdidos años anteriores </t>
  </si>
  <si>
    <t>Importe depósitos ( en miles euros)</t>
  </si>
  <si>
    <t>Importe medio de cada depósito (en miles de euros)</t>
  </si>
  <si>
    <t>Interés pagado  ( media)</t>
  </si>
  <si>
    <t>ESTIMACION MARGEN PERDIDO</t>
  </si>
  <si>
    <t xml:space="preserve">Clientes de pasivo perdidos POR CAUSA </t>
  </si>
  <si>
    <t xml:space="preserve">Margen perdido </t>
  </si>
  <si>
    <t>CUENTAS DE PÉRDIDAS Y GANANCIAS  BANCO URANO</t>
  </si>
  <si>
    <t xml:space="preserve">   ( en miles de euros )</t>
  </si>
  <si>
    <t xml:space="preserve">1. INTERESES Y RENDIMIENTOS ASIMILADOS </t>
  </si>
  <si>
    <t xml:space="preserve">2. INTERESES Y CARGAS ASIMILADAS </t>
  </si>
  <si>
    <t>A) MARGEN DE INTERESES</t>
  </si>
  <si>
    <t xml:space="preserve">3. RENDIMIENTO DE INSTRUMENTOS DE CAPITAL </t>
  </si>
  <si>
    <t xml:space="preserve"> 4. RESULTADOS DE ENTIDADES VALORADAS POR EL MÉTODO DE LA PARTICIPACIÓN</t>
  </si>
  <si>
    <t xml:space="preserve">A1) MARGEN DE INTERMEDIACIÓN </t>
  </si>
  <si>
    <t xml:space="preserve">5. COMISIONES PERCIBIDAS </t>
  </si>
  <si>
    <t xml:space="preserve">6. COMISIONES PAGADAS </t>
  </si>
  <si>
    <t>7. ACTIVIDAD DE SEGUROS</t>
  </si>
  <si>
    <t xml:space="preserve">8. RESULTADOS DE OPERACIONES FINANCIERAS (NETO) </t>
  </si>
  <si>
    <t xml:space="preserve">9. DIFERENCIAS DE CAMBIO (NETO) </t>
  </si>
  <si>
    <t xml:space="preserve">B) MARGEN ORDINARIO </t>
  </si>
  <si>
    <t>10. VENTAS E INGRESOS POR PRESTACIÓN DE SERVICIOS NO FINANCIEROS</t>
  </si>
  <si>
    <t>11. COSTE DE VENTAS</t>
  </si>
  <si>
    <t xml:space="preserve">12. OTROS PRODUCTOS DE EXPLOTACIÓN </t>
  </si>
  <si>
    <t>B1) MARGEN BRUTO</t>
  </si>
  <si>
    <t xml:space="preserve">13. GASTOS DE PERSONAL </t>
  </si>
  <si>
    <t xml:space="preserve">14. OTROS GASTOS GENERALES DE ADMINISTRACIÓN </t>
  </si>
  <si>
    <t xml:space="preserve">15. AMORTIZACIÓN </t>
  </si>
  <si>
    <t xml:space="preserve">16. OTRAS CARGAS DE EXPLOTACIÓN </t>
  </si>
  <si>
    <t xml:space="preserve">C) MARGEN DE EXPLOTACIÓN </t>
  </si>
  <si>
    <t xml:space="preserve">17. PÉRDIDAS POR DETERIORO DE ACTIVOS (NETO) </t>
  </si>
  <si>
    <t xml:space="preserve">18. DOTACIONES A PROVISIONES (NETO) </t>
  </si>
  <si>
    <t>19. INGRESOS FINANCIEROS DE ACTIVIDADES NO FINANCIERAS</t>
  </si>
  <si>
    <t>20. GASTOS FINANCIEROS DE ACTIVIDADES NO FINANCIERAS</t>
  </si>
  <si>
    <t xml:space="preserve">21. OTRAS GANANCIAS </t>
  </si>
  <si>
    <t xml:space="preserve">22. OTRAS PÉRDIDAS </t>
  </si>
  <si>
    <t xml:space="preserve">D) RESULTADO ANTES DE IMPUESTOS </t>
  </si>
  <si>
    <t xml:space="preserve">23. IMPUESTO SOBRE BENEFICIOS </t>
  </si>
  <si>
    <t xml:space="preserve">24. DOTACIÓN OBLIGATORIA A OBRAS Y FONDOS SOCIALES </t>
  </si>
  <si>
    <t xml:space="preserve">E) RESULTADO DE LA ACTIVIDAD ORDINARIA </t>
  </si>
  <si>
    <t xml:space="preserve">25. RESULTADO DE OPERACIONES INTERRUMPIDAS (NETO) </t>
  </si>
  <si>
    <t xml:space="preserve">F) RESULTADO DEL EJERCICIO </t>
  </si>
  <si>
    <t xml:space="preserve">   ( en porcentaje )</t>
  </si>
  <si>
    <t>PLAZA : ZARAGOZA</t>
  </si>
  <si>
    <t xml:space="preserve">Clientes de pasivo perdidos </t>
  </si>
  <si>
    <t xml:space="preserve">SOLUCION NUMERO 1  </t>
  </si>
  <si>
    <t xml:space="preserve">PÉRDIDAS  POR DAÑO EMERGENTE </t>
  </si>
  <si>
    <t>Reclamable</t>
  </si>
  <si>
    <t>No reclamable</t>
  </si>
  <si>
    <t>Inmovilizado material</t>
  </si>
  <si>
    <t>Ingresos por venta inmovilizado</t>
  </si>
  <si>
    <t>Indemnizaciones personal</t>
  </si>
  <si>
    <t>Finiquitos personal</t>
  </si>
  <si>
    <t>Comunicación cese negocio</t>
  </si>
  <si>
    <t>Indemnizaciones contratos no cumplidos</t>
  </si>
  <si>
    <t xml:space="preserve">Liquidación resultado mes diciembre </t>
  </si>
  <si>
    <t>TOTAL DAÑO EMERGENTE</t>
  </si>
  <si>
    <t>LUCRO CESANTE</t>
  </si>
  <si>
    <t>Resultado Explotación</t>
  </si>
  <si>
    <t>MEDIA PONDERADA</t>
  </si>
  <si>
    <t>BENEFICIO DE EXPLOTACIÓN</t>
  </si>
  <si>
    <t>último  año</t>
  </si>
  <si>
    <t>media</t>
  </si>
  <si>
    <t>mediana</t>
  </si>
  <si>
    <t xml:space="preserve">media ponderada </t>
  </si>
  <si>
    <t>Elegimos la media entre el último año y</t>
  </si>
  <si>
    <t xml:space="preserve">la mediana </t>
  </si>
  <si>
    <t>CÁLCULO LUCRO CESANTE RESTO CONTRATO</t>
  </si>
  <si>
    <t xml:space="preserve">Beneficio de explotación </t>
  </si>
  <si>
    <t>WACC ( tasa de descuento)</t>
  </si>
  <si>
    <t>Valor actual</t>
  </si>
  <si>
    <t xml:space="preserve">Valor a reclamar </t>
  </si>
  <si>
    <t>Total Bolsa</t>
  </si>
  <si>
    <t>( FACSIMIL- DATOS NO REALES )</t>
  </si>
  <si>
    <t>Rentabilidad exigida en Bolsa (dic 91)</t>
  </si>
  <si>
    <t>SOLUCION NUMERO 2</t>
  </si>
  <si>
    <t>EBITDA</t>
  </si>
  <si>
    <t>Daño emergente reclamable</t>
  </si>
  <si>
    <t xml:space="preserve">Indemnización reconocida en sentencia </t>
  </si>
  <si>
    <t xml:space="preserve">TOTAL LUCRO CESANTE </t>
  </si>
  <si>
    <t>TOTAL</t>
  </si>
  <si>
    <t>Resultado Actividades Ordinarias</t>
  </si>
  <si>
    <t xml:space="preserve">MEDIA </t>
  </si>
  <si>
    <t xml:space="preserve">SOLUCION BOME SPORTS SL </t>
  </si>
  <si>
    <t>Hemos de analizar  que costes le ha supuesto ( daño emergente) y cuál ha sido la pérdida de margen( lucro cesante)</t>
  </si>
  <si>
    <t>SEMANA 1/7</t>
  </si>
  <si>
    <t>SEMANA 2/7</t>
  </si>
  <si>
    <t>SEMANA 3/7</t>
  </si>
  <si>
    <t>SEMANA 4/7</t>
  </si>
  <si>
    <t>SEMANA 5/7</t>
  </si>
  <si>
    <t xml:space="preserve">Coste  remolcador </t>
  </si>
  <si>
    <t>Hoteles y desplazamientos</t>
  </si>
  <si>
    <t xml:space="preserve">Alquiler barco sustitución </t>
  </si>
  <si>
    <t xml:space="preserve">Costes a reclamar </t>
  </si>
  <si>
    <t>Facturación en 4 semanas ( real)</t>
  </si>
  <si>
    <t>Facturación en 4 semanas ( según tarifas)</t>
  </si>
  <si>
    <t>Descuento medio mayor (2011-2010)</t>
  </si>
  <si>
    <t>Facturación en 4 semanas ( según tarifas - dtos)</t>
  </si>
  <si>
    <t xml:space="preserve">Pérdida de margen </t>
  </si>
  <si>
    <t>No existen costes variables ( afectos)</t>
  </si>
  <si>
    <t xml:space="preserve">CANTIDAD A  RECLAMAR </t>
  </si>
  <si>
    <t xml:space="preserve">CÁLCULO DESCUENTO MEDIO </t>
  </si>
  <si>
    <t>ACTIVIDAD TRAMUNTANA  2011</t>
  </si>
  <si>
    <t>Tarifa semanal precio barco</t>
  </si>
  <si>
    <t>Ingresos por alquiler barco</t>
  </si>
  <si>
    <t xml:space="preserve">Descuento medio </t>
  </si>
  <si>
    <t>ACTIVIDAD TRAMUNTANA  2010</t>
  </si>
  <si>
    <t xml:space="preserve">( Por comparación de cuentas de explotación) </t>
  </si>
  <si>
    <t>CALCULO DE LA CUENTA DE EXPLOTACIÓN SI NO HUBIERA EXISTIDO CAUSA  JULIO 2012</t>
  </si>
  <si>
    <t>ACTIVIDAD TRAMUNTANA  2012</t>
  </si>
  <si>
    <t xml:space="preserve">Plazas con litera </t>
  </si>
  <si>
    <t xml:space="preserve">Tarifa honorarios patrón de yate </t>
  </si>
  <si>
    <t>Ingresos</t>
  </si>
  <si>
    <t xml:space="preserve">Descuentos medios </t>
  </si>
  <si>
    <t xml:space="preserve">Honorarios patrón de yate </t>
  </si>
  <si>
    <t xml:space="preserve">Gastos </t>
  </si>
  <si>
    <t>Amortización barco ( calculado a 24 semanas /año)</t>
  </si>
  <si>
    <t xml:space="preserve">Margen Bruto </t>
  </si>
  <si>
    <t xml:space="preserve">Coste remolcador </t>
  </si>
  <si>
    <t xml:space="preserve">SOLUCIÓN AL CASO BRECKEL ESPAÑA SA </t>
  </si>
  <si>
    <t>2003*</t>
  </si>
  <si>
    <t xml:space="preserve">Unidades </t>
  </si>
  <si>
    <t xml:space="preserve">Precio unitario </t>
  </si>
  <si>
    <t>€/u</t>
  </si>
  <si>
    <t xml:space="preserve">Costes variables </t>
  </si>
  <si>
    <t xml:space="preserve">Margen comercial </t>
  </si>
  <si>
    <t xml:space="preserve">Ventas </t>
  </si>
  <si>
    <t>€</t>
  </si>
  <si>
    <t xml:space="preserve">Pérdida de margen acumulada  </t>
  </si>
  <si>
    <t xml:space="preserve">* Hasta 16 de diciembre </t>
  </si>
  <si>
    <t xml:space="preserve">Pérdida de unidades respecto a 2000 </t>
  </si>
  <si>
    <t xml:space="preserve">Cálculo de la pérdida de margen </t>
  </si>
  <si>
    <t xml:space="preserve">Tasa inflación </t>
  </si>
  <si>
    <t>Pérdida de margen  actualizada</t>
  </si>
  <si>
    <t xml:space="preserve">Pérdida de margen acumulada </t>
  </si>
  <si>
    <t>KIOSCO</t>
  </si>
  <si>
    <t xml:space="preserve">DAÑO EMERGENTE </t>
  </si>
  <si>
    <t xml:space="preserve">Nueva instalación </t>
  </si>
  <si>
    <t>euros</t>
  </si>
  <si>
    <t xml:space="preserve">media 6 </t>
  </si>
  <si>
    <t>%</t>
  </si>
  <si>
    <t>meses</t>
  </si>
  <si>
    <t>MARGEN DE CONTRIBUCIÓN PERDIDO</t>
  </si>
  <si>
    <t>Ventas</t>
  </si>
  <si>
    <t>Coste de Ventas</t>
  </si>
  <si>
    <t>Margen Bruto</t>
  </si>
  <si>
    <t>media 2 años</t>
  </si>
  <si>
    <t>pérdida de</t>
  </si>
  <si>
    <t>Nóminas</t>
  </si>
  <si>
    <t>ventas</t>
  </si>
  <si>
    <t>Electricidad</t>
  </si>
  <si>
    <t>Otros gastos</t>
  </si>
  <si>
    <t>Amortización (1)</t>
  </si>
  <si>
    <t>Costes fijos</t>
  </si>
  <si>
    <t>Beneficio bruto</t>
  </si>
  <si>
    <t>COSTES FIJOS AHORRADOS</t>
  </si>
  <si>
    <t xml:space="preserve"> (1) Incluye la amortización del kiosco y la concesión </t>
  </si>
  <si>
    <t xml:space="preserve">COSTES FIJOS NO ABSORBIDOS </t>
  </si>
  <si>
    <t xml:space="preserve">Costes fijos </t>
  </si>
  <si>
    <t>Beneficio real</t>
  </si>
  <si>
    <t>Beneficio perdido</t>
  </si>
  <si>
    <t xml:space="preserve">Beneficio </t>
  </si>
  <si>
    <t>( real+ perdido)</t>
  </si>
  <si>
    <t>Pérdida de margen bruto</t>
  </si>
  <si>
    <t>IRREGULARIDADES DETECTADAS EN "DUE DILIGENCE "</t>
  </si>
  <si>
    <t xml:space="preserve">No reclamable </t>
  </si>
  <si>
    <t xml:space="preserve">Ingresos indebidos </t>
  </si>
  <si>
    <t>En la cuenta de partidas pendientes de aplicación figura un ingreso en efectivo en el banco de 1700 €</t>
  </si>
  <si>
    <t>Pagada en tres cheques nominativos  ( con una sólo firma)</t>
  </si>
  <si>
    <t>Recibos domiciliados superiores a 20.000 euros</t>
  </si>
  <si>
    <t xml:space="preserve">Transferencias on line mayores 20.000 euros con firma única </t>
  </si>
  <si>
    <t>Gastos no corrientes ( atípicos del negocio)</t>
  </si>
  <si>
    <t>Cargos en VISA sin comprobantes y en periodo vacacional</t>
  </si>
  <si>
    <t xml:space="preserve">Compra camisetas de fútbol  oficiales </t>
  </si>
  <si>
    <t xml:space="preserve">Gasto domingo en Mcdonals </t>
  </si>
  <si>
    <t xml:space="preserve">Viaje a Eurodisney ( familiar) , 4 personas </t>
  </si>
  <si>
    <t xml:space="preserve">Dos trajes por pérdida maleta </t>
  </si>
  <si>
    <t xml:space="preserve">Gasto teléfono móvil desconocido usuario </t>
  </si>
  <si>
    <t>Pago reclamación nóminas a cargo de un proveedor subcontratado en una obra</t>
  </si>
  <si>
    <t xml:space="preserve">LISTADO N. 13 </t>
  </si>
  <si>
    <t xml:space="preserve">CLIENTES PERDIDOS POR WATIKANA  SL </t>
  </si>
  <si>
    <t>REFERENCIA</t>
  </si>
  <si>
    <t xml:space="preserve">GASTIEAU </t>
  </si>
  <si>
    <t>ERKENEN</t>
  </si>
  <si>
    <t>KORAUTEN</t>
  </si>
  <si>
    <t>HARINAS PISCIS</t>
  </si>
  <si>
    <t xml:space="preserve">SEKOYUELA </t>
  </si>
  <si>
    <t xml:space="preserve">TOTAL </t>
  </si>
  <si>
    <t xml:space="preserve">CLIENTES  RECUPERADOS POR VOLTIA SL </t>
  </si>
  <si>
    <t xml:space="preserve">SOLUCION WATIKANA SL </t>
  </si>
  <si>
    <t xml:space="preserve">CÁLCULO VENTAS TRANSFERIDAS A VOLTIA </t>
  </si>
  <si>
    <t xml:space="preserve">CÁLCULO  MARGEN DE CONTRIBUCIÓN PERDIDO </t>
  </si>
  <si>
    <t>% Margen de contribución</t>
  </si>
  <si>
    <t xml:space="preserve">Ventas transferidas </t>
  </si>
  <si>
    <t xml:space="preserve">Aspectos a comentar . El descenso del margen de contribución en 1998 y 1999 se debe a la introducción en el mercado de </t>
  </si>
  <si>
    <t>VOLTIA, o es un aspecto más coyuntural del mercado( general).</t>
  </si>
  <si>
    <t>Costes fijos+ Beneficio</t>
  </si>
  <si>
    <t>CALCULO DE LA CUENTA DE EXPLOTACIÓN CON CAUSA  JULIO 2012</t>
  </si>
  <si>
    <t>Pérdida de margen comercial</t>
  </si>
  <si>
    <t>Si los márgenes fueran muy distintos por tipo de cliente, deberíamos calcular el margen perdido cliente a cliente, y año a año</t>
  </si>
  <si>
    <t xml:space="preserve">  +70-29</t>
  </si>
  <si>
    <t>Interés perdido %</t>
  </si>
  <si>
    <t xml:space="preserve">Acumulado </t>
  </si>
  <si>
    <t>BINGO ALTAMAR   ( SOLUCION)</t>
  </si>
  <si>
    <t>SUERTE Y OCIO SA</t>
  </si>
  <si>
    <t xml:space="preserve">SOLUCIÓN </t>
  </si>
  <si>
    <t>INMOBILIARIA TRIPLE A</t>
  </si>
  <si>
    <t>Ipc</t>
  </si>
  <si>
    <t xml:space="preserve">Ingresos alquiler oficinas </t>
  </si>
  <si>
    <t>Ingresos alquiler parkings</t>
  </si>
  <si>
    <t xml:space="preserve">TOTAL INGRESOS </t>
  </si>
  <si>
    <t xml:space="preserve">Tasa </t>
  </si>
  <si>
    <t xml:space="preserve">  + VNA 5%</t>
  </si>
  <si>
    <t>Ingresos realmente obtenidos</t>
  </si>
  <si>
    <t xml:space="preserve">Admistración </t>
  </si>
  <si>
    <t>Gastos promoción y publicidad</t>
  </si>
  <si>
    <t>TOTAL INGRESOS  ESPERADOS</t>
  </si>
  <si>
    <t xml:space="preserve">Pérdida de ingresos </t>
  </si>
  <si>
    <t xml:space="preserve">Perdida de margen </t>
  </si>
  <si>
    <t>Pagos realizados sin firma mancomunada (  necesaria partir de 20.000 euros)</t>
  </si>
  <si>
    <t xml:space="preserve">Transferencia  a su cuenta con firma única </t>
  </si>
  <si>
    <t xml:space="preserve">Cheque cobrado en la Oficina 23 del  Banco X , desconociendo titular de la cuenta </t>
  </si>
  <si>
    <t>BRECKEL</t>
  </si>
  <si>
    <t xml:space="preserve">KIMANO INTERNACIONAL </t>
  </si>
  <si>
    <t>KIMANO</t>
  </si>
  <si>
    <t xml:space="preserve"> .% 2007</t>
  </si>
  <si>
    <t xml:space="preserve">ESTACION PUERTA DEL GUADALQUIVIR </t>
  </si>
  <si>
    <t xml:space="preserve">Ingresos previstos contrato NAPOLEON </t>
  </si>
  <si>
    <t xml:space="preserve">Comparación de ingresos previstos e ingresos reales </t>
  </si>
  <si>
    <t xml:space="preserve">Hipotesis comparativa a 10 años </t>
  </si>
  <si>
    <t>( Debe restarse la fianza recibida)</t>
  </si>
  <si>
    <t xml:space="preserve">ANALISIS DEL RESULTADO OBTENIDO </t>
  </si>
  <si>
    <t>ACTIVIDAD 2012 ( AÑO SINIESTRO)</t>
  </si>
  <si>
    <t xml:space="preserve">ANACONDA </t>
  </si>
  <si>
    <t xml:space="preserve">BALANCE </t>
  </si>
  <si>
    <t xml:space="preserve">Caja necesaria </t>
  </si>
  <si>
    <t>NOF</t>
  </si>
  <si>
    <t>Activo fijo bruto</t>
  </si>
  <si>
    <t xml:space="preserve"> - amort acumulada</t>
  </si>
  <si>
    <t>Activo fijo neto</t>
  </si>
  <si>
    <t>TOTAL ACTIVO</t>
  </si>
  <si>
    <t>Deuda</t>
  </si>
  <si>
    <t>Recursos propios  (valor contable)</t>
  </si>
  <si>
    <t>TOTAL PASIVO</t>
  </si>
  <si>
    <t xml:space="preserve">CUENTA DE PÉRDIDAS Y GANANCIAS </t>
  </si>
  <si>
    <t>EBITDA(1)</t>
  </si>
  <si>
    <t>Amortización</t>
  </si>
  <si>
    <t xml:space="preserve"> BAIT</t>
  </si>
  <si>
    <t>Intereses</t>
  </si>
  <si>
    <t>BAT</t>
  </si>
  <si>
    <t>Impuestos</t>
  </si>
  <si>
    <t>BDT</t>
  </si>
  <si>
    <t>g</t>
  </si>
  <si>
    <t>Tasa de crecimiento  ( no es la inflación)</t>
  </si>
  <si>
    <t>T</t>
  </si>
  <si>
    <t>Tasa impositiva efectiva</t>
  </si>
  <si>
    <t>Kd</t>
  </si>
  <si>
    <t xml:space="preserve">Coste de la deuda </t>
  </si>
  <si>
    <t>Rf</t>
  </si>
  <si>
    <t xml:space="preserve">Interés sin riesgo </t>
  </si>
  <si>
    <t>Rm- Rf</t>
  </si>
  <si>
    <t>Riesgo</t>
  </si>
  <si>
    <t>ß u</t>
  </si>
  <si>
    <t xml:space="preserve">Volatilidad rentabilidad de los activos </t>
  </si>
  <si>
    <t>r</t>
  </si>
  <si>
    <t>Coste de la deuda ( en mercado)</t>
  </si>
  <si>
    <t>ß d</t>
  </si>
  <si>
    <t>Volatilidad rentabilidad de la deuda</t>
  </si>
  <si>
    <t>Ku</t>
  </si>
  <si>
    <t>Rentabilidad exigida a las acciones sin deuda (retorno activos)</t>
  </si>
  <si>
    <t>ß e</t>
  </si>
  <si>
    <t xml:space="preserve">Volatilidad rentabilidad de las acciones </t>
  </si>
  <si>
    <t>Ke</t>
  </si>
  <si>
    <t xml:space="preserve">Rentabilidad exigida a las acciones </t>
  </si>
  <si>
    <t>WACC</t>
  </si>
  <si>
    <t>WACC bt</t>
  </si>
  <si>
    <t>FCF (Free Cash Flow)</t>
  </si>
  <si>
    <t>BAIT</t>
  </si>
  <si>
    <t>Amortizaciones</t>
  </si>
  <si>
    <t>Variación inmovilizado</t>
  </si>
  <si>
    <t>Variación necesidades operativas de fondos</t>
  </si>
  <si>
    <t xml:space="preserve">FCF antes impuestos </t>
  </si>
  <si>
    <t>Impuestos  sobre BAIT</t>
  </si>
  <si>
    <t xml:space="preserve">FCF después de impuestos </t>
  </si>
  <si>
    <t>Valor actual ahorro IS intereses ( Ku )</t>
  </si>
  <si>
    <t>Flujos APV</t>
  </si>
  <si>
    <t>BN</t>
  </si>
  <si>
    <t>Var DEUDA</t>
  </si>
  <si>
    <t>Cfac</t>
  </si>
  <si>
    <t>CCF( capital cash flow)</t>
  </si>
  <si>
    <t xml:space="preserve">FLUJOS AJUSTED PRESENT VALUE SOBRE TASA RETORNO ACTIVOS </t>
  </si>
  <si>
    <t>FLUJOS APV</t>
  </si>
  <si>
    <t>Factor actualizacion</t>
  </si>
  <si>
    <t xml:space="preserve">Valor actualizado </t>
  </si>
  <si>
    <t>VNA ( Ku; FCF) 10</t>
  </si>
  <si>
    <t>VNA ( Ku; FCF) VR</t>
  </si>
  <si>
    <t xml:space="preserve">Valor </t>
  </si>
  <si>
    <t xml:space="preserve">  DEUDA </t>
  </si>
  <si>
    <t>E1</t>
  </si>
  <si>
    <t xml:space="preserve">VALOR </t>
  </si>
  <si>
    <t>FREE CASH FLOW SOBRE WACC</t>
  </si>
  <si>
    <t>FCF</t>
  </si>
  <si>
    <t>VNA ( WACC; FCF) 10</t>
  </si>
  <si>
    <t>VNA ( WACC; FCF) VR</t>
  </si>
  <si>
    <t>E2</t>
  </si>
  <si>
    <t xml:space="preserve">CAPITAL CASH FLOW ACTUALIZADO WACC ANTES IMPUESTOS </t>
  </si>
  <si>
    <t>CCF</t>
  </si>
  <si>
    <t>WACCbt</t>
  </si>
  <si>
    <t>Factor actualizacion WACCbt</t>
  </si>
  <si>
    <t>Valor actualizado Cfac a  WACCbt</t>
  </si>
  <si>
    <t>VNA ( WACCbt; CCF) 10</t>
  </si>
  <si>
    <t>VNA ( WACCbt; CCF) VR</t>
  </si>
  <si>
    <t>E3</t>
  </si>
  <si>
    <t xml:space="preserve">CASH FLOW ACCIONISTA SOBRE RENTABILIDAD EXIGIDA AL CAPITAL </t>
  </si>
  <si>
    <t xml:space="preserve">Factor actualizacion Ke </t>
  </si>
  <si>
    <t xml:space="preserve">Valor actualizado Cfac a Ke </t>
  </si>
  <si>
    <t>VNA ( Ke; Cfac) 10</t>
  </si>
  <si>
    <t>VNA ( Ke; Cfac) VR</t>
  </si>
  <si>
    <t>E4</t>
  </si>
  <si>
    <t>Cálculo valor empresa a partir del FCF, Cfac; CCF</t>
  </si>
  <si>
    <t>Kd = r</t>
  </si>
  <si>
    <t xml:space="preserve"> +(C31-C32)/C33</t>
  </si>
  <si>
    <t xml:space="preserve">  +C32+(C33*C34)</t>
  </si>
  <si>
    <t xml:space="preserve">  +((C34*(C14*(1-C30)+C76)/C76)-(C36*C14*(1-C30)/C76))</t>
  </si>
  <si>
    <t xml:space="preserve"> +C32+(C38*C33)</t>
  </si>
  <si>
    <t xml:space="preserve"> +(B76/(B76+B14)*C39)+(B14/(B76+B14)*C31*(1-C30))</t>
  </si>
  <si>
    <t xml:space="preserve"> +(B76/(B76+B14)*C39)+(B14/(B76+B14)*C31)</t>
  </si>
  <si>
    <t xml:space="preserve"> -C46*C30</t>
  </si>
  <si>
    <t xml:space="preserve"> +B14*C37*C30</t>
  </si>
  <si>
    <t xml:space="preserve"> SOLUCIÓN ESCUDERO SAT SL </t>
  </si>
  <si>
    <t xml:space="preserve">CÁLCULO PERDIDA POR CESE </t>
  </si>
  <si>
    <t xml:space="preserve">Media </t>
  </si>
  <si>
    <t>Mediana</t>
  </si>
  <si>
    <t>Promedio P</t>
  </si>
  <si>
    <t>Último</t>
  </si>
  <si>
    <t>Calculamos el valor de la empresa a partir del free cash flow</t>
  </si>
  <si>
    <t xml:space="preserve">DATOS </t>
  </si>
  <si>
    <t>VR</t>
  </si>
  <si>
    <t>Margen bruto</t>
  </si>
  <si>
    <t>FREE CASH FLOW</t>
  </si>
  <si>
    <t>R. Propios / (R. Propios + Deuda explícita)</t>
  </si>
  <si>
    <t>Deuda explícita / (R. Propios + Deuda explícita)</t>
  </si>
  <si>
    <t>VALOR ACTUAL empresa en funcionamiento</t>
  </si>
  <si>
    <t>Deducción de gastos necesarios para cumplir contrato</t>
  </si>
  <si>
    <t xml:space="preserve">Gastos personal dos años </t>
  </si>
  <si>
    <t>Otros gastos sólo desplazamientos</t>
  </si>
  <si>
    <t xml:space="preserve">Gastos de liquidación </t>
  </si>
  <si>
    <t>315/360* Gastos personal/ 1,35</t>
  </si>
  <si>
    <t>VALOR ACTUAL  post liquidación</t>
  </si>
  <si>
    <t xml:space="preserve">Calculo gastos personal </t>
  </si>
  <si>
    <t xml:space="preserve"> año 1</t>
  </si>
  <si>
    <t xml:space="preserve"> año 2</t>
  </si>
  <si>
    <t>T1</t>
  </si>
  <si>
    <t>T2</t>
  </si>
  <si>
    <t>T3</t>
  </si>
  <si>
    <t>T4</t>
  </si>
  <si>
    <t xml:space="preserve">Coste anual </t>
  </si>
  <si>
    <t xml:space="preserve">Coste trimestral </t>
  </si>
  <si>
    <t>Indemnizaciones</t>
  </si>
  <si>
    <t xml:space="preserve">CÁCULO DEL LUCRO CESANTE </t>
  </si>
  <si>
    <t xml:space="preserve">Contratos </t>
  </si>
  <si>
    <t>Reparación</t>
  </si>
  <si>
    <t>CUENTAS DE PÉRDIDAS Y GANANCIAS</t>
  </si>
  <si>
    <t>Garantías</t>
  </si>
  <si>
    <t>MO</t>
  </si>
  <si>
    <t>MAT</t>
  </si>
  <si>
    <t>DESPLA</t>
  </si>
  <si>
    <t xml:space="preserve">Recambios </t>
  </si>
  <si>
    <t>Importe neto de Cifra de Ventas</t>
  </si>
  <si>
    <t>Consumo de mercaderías y de materias</t>
  </si>
  <si>
    <t xml:space="preserve">Combustible </t>
  </si>
  <si>
    <t xml:space="preserve">Margen contribución </t>
  </si>
  <si>
    <t>junio 2012- mayo 2013</t>
  </si>
  <si>
    <t>PERDIDA DE MARGEN  POR VENTAS</t>
  </si>
  <si>
    <t xml:space="preserve">PERDIDA DE MARGEN  POR MAYOR COSTE </t>
  </si>
  <si>
    <t xml:space="preserve">Pérdida de margen  menos ventas </t>
  </si>
  <si>
    <t xml:space="preserve">Coeficiente de aplicación </t>
  </si>
  <si>
    <t xml:space="preserve">Pérdida de margen por ventas </t>
  </si>
  <si>
    <t xml:space="preserve">Pérdida de margen mayor coste </t>
  </si>
  <si>
    <t xml:space="preserve">Pérdida de margen por mayor coste </t>
  </si>
  <si>
    <t>VALOR ACTUAL</t>
  </si>
  <si>
    <t>Total</t>
  </si>
  <si>
    <t>BALANCES DE SITUACIÓN</t>
  </si>
  <si>
    <t> EUR</t>
  </si>
  <si>
    <t>Inmovilizado</t>
  </si>
  <si>
    <t>Inmovilizado inmaterial</t>
  </si>
  <si>
    <t>Otros activos inmovilizado</t>
  </si>
  <si>
    <t>Activo circulante</t>
  </si>
  <si>
    <t>Existencias</t>
  </si>
  <si>
    <t>Deudores</t>
  </si>
  <si>
    <t>Tesorería</t>
  </si>
  <si>
    <t>Total activo</t>
  </si>
  <si>
    <t>Fondos propios</t>
  </si>
  <si>
    <t>Capital suscrito</t>
  </si>
  <si>
    <t>Otros fondos propios</t>
  </si>
  <si>
    <t>Pasivo a largo</t>
  </si>
  <si>
    <t>Acreedores a L. P.</t>
  </si>
  <si>
    <t>Pasivo a corto</t>
  </si>
  <si>
    <t>Acreedores comerciales</t>
  </si>
  <si>
    <t>Total pasivo y capital propio</t>
  </si>
  <si>
    <t>Número empleados</t>
  </si>
  <si>
    <t>CUENTAS DE PYG</t>
  </si>
  <si>
    <t xml:space="preserve">Consumo de mercaderías </t>
  </si>
  <si>
    <t>Gastos de personal</t>
  </si>
  <si>
    <t>Otros gastos de explotación</t>
  </si>
  <si>
    <t xml:space="preserve">Amortizaciones </t>
  </si>
  <si>
    <t>Ingresos financieros</t>
  </si>
  <si>
    <t>Gastos financieros</t>
  </si>
  <si>
    <t>Resultado financiero</t>
  </si>
  <si>
    <t>Result. ordinarios antes Impuestos</t>
  </si>
  <si>
    <t>Impuestos sobre sociedades</t>
  </si>
  <si>
    <t>Resultado del Ejercicio</t>
  </si>
  <si>
    <t>% Margen Bruto</t>
  </si>
  <si>
    <t>Media</t>
  </si>
  <si>
    <t xml:space="preserve">VALOR ACTUAL </t>
  </si>
  <si>
    <t xml:space="preserve">MARGEN PERDIDO </t>
  </si>
  <si>
    <t xml:space="preserve"> -Amortización subvención capital</t>
  </si>
  <si>
    <t>Variación inversiones inmovilizado</t>
  </si>
  <si>
    <t>Free cash flow</t>
  </si>
  <si>
    <t>Impuestos sobre Bait</t>
  </si>
  <si>
    <t>Free cash flow despues impuestos</t>
  </si>
  <si>
    <t xml:space="preserve">LITIGIOS INMOBILIARIOS </t>
  </si>
  <si>
    <t xml:space="preserve">Lucro cesante </t>
  </si>
  <si>
    <t xml:space="preserve">Indemnizaciones </t>
  </si>
  <si>
    <t>Desmontaje y montaje maquinaria, barra, frigoríficos.</t>
  </si>
  <si>
    <t>Traslado ( mudanza)</t>
  </si>
  <si>
    <t>Acometida gas y luz</t>
  </si>
  <si>
    <t>Alta de permiso ambiental  y sanitario</t>
  </si>
  <si>
    <t xml:space="preserve">Cámara frigorífica no recuperable </t>
  </si>
  <si>
    <t xml:space="preserve">Construcción nueva cámara frigorífica </t>
  </si>
  <si>
    <t>Acondicionamiento nuevo local ( instalaciones, pintura, limpieza)</t>
  </si>
  <si>
    <t xml:space="preserve">Pozos geotérmicos no recuperables </t>
  </si>
  <si>
    <t xml:space="preserve">Nuevo aire acondicionado para local </t>
  </si>
  <si>
    <t>Mayor gasto en aire acondicionado (45%  de sobrecoste) en 20.000 kWh de consumo ( precio 0,16 €/ kWh)</t>
  </si>
  <si>
    <t xml:space="preserve"> VR/ (t-g)</t>
  </si>
  <si>
    <t xml:space="preserve">Comunicaciones traslado </t>
  </si>
  <si>
    <t xml:space="preserve">Mayor coste alquiler  </t>
  </si>
  <si>
    <t xml:space="preserve">Confección tarjetas y folletos promocinales </t>
  </si>
  <si>
    <t xml:space="preserve">Mayor gasto guardería gerente </t>
  </si>
  <si>
    <t xml:space="preserve">Factor corrector decreciente </t>
  </si>
  <si>
    <t xml:space="preserve">INCUMPLIMIENTO DE PERMUTA : INMOBILIARIA QUOD SL </t>
  </si>
  <si>
    <t xml:space="preserve">Daño emergente </t>
  </si>
  <si>
    <t>Devolución doble fianza</t>
  </si>
  <si>
    <t xml:space="preserve">IVA </t>
  </si>
  <si>
    <t xml:space="preserve">Pérdida deducciones  por re-inversión </t>
  </si>
  <si>
    <t xml:space="preserve">Valor piso </t>
  </si>
  <si>
    <t xml:space="preserve">Total Daño Emergente </t>
  </si>
  <si>
    <t>Lucro cesante  ( local)</t>
  </si>
  <si>
    <t>Miles</t>
  </si>
  <si>
    <t>Variación NOF</t>
  </si>
  <si>
    <t>R. Propios / (R. Propios + D. EXPL)</t>
  </si>
  <si>
    <t>Deuda explícita / (R. Pro + D. ex)</t>
  </si>
  <si>
    <t xml:space="preserve">Calculo Van </t>
  </si>
  <si>
    <t xml:space="preserve">SOLUCIÓN INMOBILIARIA XARABAL </t>
  </si>
  <si>
    <t xml:space="preserve">EDIFICIO BAQUEIRA </t>
  </si>
  <si>
    <t xml:space="preserve">Metros construidos ( previsión antes de la causa) </t>
  </si>
  <si>
    <t xml:space="preserve">Metros construidos ( previsión después de la causa) </t>
  </si>
  <si>
    <t>Planta</t>
  </si>
  <si>
    <t>Tipo</t>
  </si>
  <si>
    <t>Puerta A</t>
  </si>
  <si>
    <t>Puerta B</t>
  </si>
  <si>
    <t>Puerta C</t>
  </si>
  <si>
    <t>Zonas Comu</t>
  </si>
  <si>
    <t xml:space="preserve">Otros usos </t>
  </si>
  <si>
    <t>Cuarta</t>
  </si>
  <si>
    <t>Vivienda</t>
  </si>
  <si>
    <t>Tercera</t>
  </si>
  <si>
    <t>Segunda</t>
  </si>
  <si>
    <t xml:space="preserve">Primera </t>
  </si>
  <si>
    <t xml:space="preserve">Baja </t>
  </si>
  <si>
    <t xml:space="preserve">Locales </t>
  </si>
  <si>
    <t>Subterráneo 1</t>
  </si>
  <si>
    <t>Parking</t>
  </si>
  <si>
    <t>Subterráneo 2</t>
  </si>
  <si>
    <t>Facturación prevista ( antes causa</t>
  </si>
  <si>
    <t>Facturación prevista ( después causa)</t>
  </si>
  <si>
    <t>Metros equivalentes  ( antes causa)</t>
  </si>
  <si>
    <t>Metros equivalentes  ( después  causa)</t>
  </si>
  <si>
    <t>Coeficiente</t>
  </si>
  <si>
    <t>Coste  previsto ( antes causa)</t>
  </si>
  <si>
    <t>Coste  previsto ( después causa)</t>
  </si>
  <si>
    <t xml:space="preserve">Terreno </t>
  </si>
  <si>
    <t xml:space="preserve">Construcción </t>
  </si>
  <si>
    <t>DIFERENCIA  MARGEN</t>
  </si>
  <si>
    <t>Daño emergente</t>
  </si>
  <si>
    <t>( terreno)</t>
  </si>
  <si>
    <t>Otros daños</t>
  </si>
  <si>
    <t xml:space="preserve">Coste modificación  proyecto </t>
  </si>
  <si>
    <t xml:space="preserve">Coste movi. tierras </t>
  </si>
  <si>
    <t xml:space="preserve">Sobrecoste movimiento de tierras </t>
  </si>
  <si>
    <t>Demora 4%</t>
  </si>
  <si>
    <t>( sobre valor promoción)</t>
  </si>
  <si>
    <t>SOLUCIÓN</t>
  </si>
  <si>
    <t>REALE ARUBA LOFTS SL</t>
  </si>
  <si>
    <t xml:space="preserve">Liquidaciones realizadas </t>
  </si>
  <si>
    <t>Número días contratado</t>
  </si>
  <si>
    <t xml:space="preserve">Promedio personas/ día </t>
  </si>
  <si>
    <t>Promedio euros persona / día</t>
  </si>
  <si>
    <t>Facturación total</t>
  </si>
  <si>
    <t>Remuneración agente (30%)</t>
  </si>
  <si>
    <t>INDEMNIZACIÓN</t>
  </si>
  <si>
    <t>A peritar</t>
  </si>
  <si>
    <t xml:space="preserve">Coste del retorno a la situación inicial </t>
  </si>
  <si>
    <t>Margen bruto liquidación</t>
  </si>
  <si>
    <t xml:space="preserve">DIFERENCIA </t>
  </si>
  <si>
    <t>Tasa actualización</t>
  </si>
  <si>
    <t>DIFERENCIA ACTUALIZADA</t>
  </si>
  <si>
    <t>MARGEN PERDIDO  MINIMO ( N. PERSONAS 1 AÑO)</t>
  </si>
  <si>
    <t>MARGEN PERDIDO  MAXIMO ( SUMAR 2 PERSONAS A LA MEDIA)</t>
  </si>
  <si>
    <t>BIBLIOGRAFIA Y LEGISLACIÓN</t>
  </si>
  <si>
    <t xml:space="preserve">BIBLIOGRAFIA </t>
  </si>
  <si>
    <t>AECA</t>
  </si>
  <si>
    <t xml:space="preserve">Valoración de pimes </t>
  </si>
  <si>
    <t>Documento n. 7 AECA</t>
  </si>
  <si>
    <t xml:space="preserve">Madrid </t>
  </si>
  <si>
    <t xml:space="preserve">Aplicabilidad del modelo Ohlson para valoració de acciones </t>
  </si>
  <si>
    <t>Documento n. 8 AECA</t>
  </si>
  <si>
    <t>Marco normativo internacional de valoración de empresas</t>
  </si>
  <si>
    <t>Documento n. 9 AECA</t>
  </si>
  <si>
    <t>BALAGUE DOMÉNECH , J</t>
  </si>
  <si>
    <t xml:space="preserve">La prueba pericialcontable en las jurisdciciones civil, penal , contecioso-administrativo y laboral </t>
  </si>
  <si>
    <t>Editorial Bosch</t>
  </si>
  <si>
    <t xml:space="preserve">Barcelona </t>
  </si>
  <si>
    <t>BARÓN PLADEVALL, A</t>
  </si>
  <si>
    <t xml:space="preserve">Manual del Financial Business Plan </t>
  </si>
  <si>
    <t>Profit Editorial - ACCID</t>
  </si>
  <si>
    <t>BIENFAIT, F</t>
  </si>
  <si>
    <t>A Note on Valuation Models: CCFs vs APV vs WACC</t>
  </si>
  <si>
    <t>IFM Final Paper Harvard BS</t>
  </si>
  <si>
    <t xml:space="preserve"> Boston Massachusetts</t>
  </si>
  <si>
    <t xml:space="preserve">CASANOVAS,  M  et al </t>
  </si>
  <si>
    <t xml:space="preserve">Valoración de empresas </t>
  </si>
  <si>
    <t xml:space="preserve">CASANOVAS,  M y SSANTANDREU , P </t>
  </si>
  <si>
    <t xml:space="preserve">Guia de valoración de Empresas </t>
  </si>
  <si>
    <t xml:space="preserve">FARIÑA, L  et all </t>
  </si>
  <si>
    <t>Dictámenes periciales urbanísticos</t>
  </si>
  <si>
    <t>La Ley - Actualidad</t>
  </si>
  <si>
    <t>Madrid</t>
  </si>
  <si>
    <t>FEMENIA LOPEZ, P</t>
  </si>
  <si>
    <t xml:space="preserve">Criterios de delimitación del lucro cesante internacional </t>
  </si>
  <si>
    <t>ED. Tirant lo blanch</t>
  </si>
  <si>
    <t xml:space="preserve">Valencia </t>
  </si>
  <si>
    <t>FERNANDEZ, Pablo</t>
  </si>
  <si>
    <t xml:space="preserve">Dos sentencias con errores </t>
  </si>
  <si>
    <t>Documento Investigación IESE</t>
  </si>
  <si>
    <t xml:space="preserve">Madrid- Barcelona </t>
  </si>
  <si>
    <t>Métodos de valoración de empresas</t>
  </si>
  <si>
    <t xml:space="preserve">Valoración de empresas por descuento de flujos </t>
  </si>
  <si>
    <t xml:space="preserve">WACC : definición, interpretaciones equivocadas y errores </t>
  </si>
  <si>
    <t>GARCIA ERVITI, F</t>
  </si>
  <si>
    <t xml:space="preserve">Indemnizaciones por traslado de actividades económicas en actuaciones .. </t>
  </si>
  <si>
    <t xml:space="preserve">Revista de Derecho Urbanístico </t>
  </si>
  <si>
    <t>LOPEZ GARCÍA DE LA SERRANA, F. J.</t>
  </si>
  <si>
    <t>Lucro cesante en los accidentes de circulación</t>
  </si>
  <si>
    <t xml:space="preserve">Tesis doctoral  </t>
  </si>
  <si>
    <t>Granada</t>
  </si>
  <si>
    <t>MARIN , Q</t>
  </si>
  <si>
    <t xml:space="preserve">Software para valoración de empresas </t>
  </si>
  <si>
    <t xml:space="preserve">RAMOS MUÑOZ , D </t>
  </si>
  <si>
    <t xml:space="preserve">La pérdida de volumen de ventas como daño indemnizable </t>
  </si>
  <si>
    <t>Revista Ceflegal n.37</t>
  </si>
  <si>
    <t xml:space="preserve">LEGISLACIÓN </t>
  </si>
  <si>
    <t>A</t>
  </si>
  <si>
    <t xml:space="preserve">Real Decreto Legislativo 1/ 2010 Ley de Sociedades de Capital </t>
  </si>
  <si>
    <t>B</t>
  </si>
  <si>
    <t xml:space="preserve">Ley 12 /1992 sobre contrato de agencia </t>
  </si>
  <si>
    <t>C</t>
  </si>
  <si>
    <t>Ley 3/1991 de Competencia Desleal</t>
  </si>
  <si>
    <t>D</t>
  </si>
  <si>
    <t>Proyecto de ley de Contratos de Distribución</t>
  </si>
  <si>
    <t>E</t>
  </si>
  <si>
    <t xml:space="preserve">Orden ECO/ 805/ 2003 Valoración de inmuebles </t>
  </si>
  <si>
    <t>F</t>
  </si>
  <si>
    <t>RDLRCSCVN 8/2004</t>
  </si>
  <si>
    <t>G</t>
  </si>
  <si>
    <t xml:space="preserve">Resolución 21 de enero de 2013 Baremos 2013 </t>
  </si>
  <si>
    <t>H</t>
  </si>
  <si>
    <t>Ley de Marcas 17/2001</t>
  </si>
  <si>
    <t xml:space="preserve">BASES DE DATOS </t>
  </si>
  <si>
    <t>I</t>
  </si>
  <si>
    <t>SABI</t>
  </si>
  <si>
    <t>II</t>
  </si>
  <si>
    <t>JURISPRUDENCIA TIRANT LO BLANC</t>
  </si>
  <si>
    <t>III</t>
  </si>
  <si>
    <t xml:space="preserve">ARANZADI </t>
  </si>
  <si>
    <t xml:space="preserve">Importe  medio depósitos </t>
  </si>
  <si>
    <t>REAL</t>
  </si>
  <si>
    <t xml:space="preserve">TÍTULOS  IMPERIAL  BANK </t>
  </si>
  <si>
    <t xml:space="preserve">Cálculo perjuicio causado </t>
  </si>
  <si>
    <t>TIPO</t>
  </si>
  <si>
    <t>FLUJOS</t>
  </si>
  <si>
    <t>ACUMULA</t>
  </si>
  <si>
    <t xml:space="preserve">Desembolso </t>
  </si>
  <si>
    <t xml:space="preserve">Cálculo del capital ( base intereses)e intereses a percibirir </t>
  </si>
  <si>
    <t>BASE</t>
  </si>
  <si>
    <t>Intereses legal</t>
  </si>
  <si>
    <t>Interés legal</t>
  </si>
  <si>
    <t>Retención R.C</t>
  </si>
  <si>
    <t>Fecha ini.</t>
  </si>
  <si>
    <t>Fecha Final</t>
  </si>
  <si>
    <t>Intereses legales devengados PERIODO</t>
  </si>
  <si>
    <t>Intereses netos pagados inversión</t>
  </si>
  <si>
    <t xml:space="preserve">Interes legal  aplicado </t>
  </si>
  <si>
    <t xml:space="preserve">1/10/2012
</t>
  </si>
  <si>
    <t xml:space="preserve">CANJE OBLIGACIONES EN ACCIONES </t>
  </si>
  <si>
    <t xml:space="preserve">2/10/2012
</t>
  </si>
  <si>
    <t>2009 hasta 31-03</t>
  </si>
  <si>
    <t xml:space="preserve">Dividendos pagados </t>
  </si>
  <si>
    <t>2009 desde abril</t>
  </si>
  <si>
    <t>Comparación de intereses</t>
  </si>
  <si>
    <t>Base</t>
  </si>
  <si>
    <t xml:space="preserve">Intereses </t>
  </si>
  <si>
    <t>Dividendos</t>
  </si>
  <si>
    <t xml:space="preserve">legales </t>
  </si>
  <si>
    <t>a recibir</t>
  </si>
  <si>
    <t xml:space="preserve"> cobrados</t>
  </si>
  <si>
    <t>Intereses brutos pagados inversión</t>
  </si>
  <si>
    <t xml:space="preserve">Dividendos pagados 10.000 acciones </t>
  </si>
  <si>
    <t xml:space="preserve">Remuneraciones recibidas por </t>
  </si>
  <si>
    <t>Cobros</t>
  </si>
  <si>
    <t xml:space="preserve">tenencia "Títulos Imperial" </t>
  </si>
  <si>
    <t>Cuenta de explotación 2016</t>
  </si>
  <si>
    <t xml:space="preserve">Tipo </t>
  </si>
  <si>
    <t>Importe</t>
  </si>
  <si>
    <t>Vencimiento</t>
  </si>
  <si>
    <t xml:space="preserve">Interés </t>
  </si>
  <si>
    <t>Comisión N. D</t>
  </si>
  <si>
    <t>Margen/</t>
  </si>
  <si>
    <t>Banco X</t>
  </si>
  <si>
    <t>Poliza de crédito</t>
  </si>
  <si>
    <t>Costes</t>
  </si>
  <si>
    <t>Banco y</t>
  </si>
  <si>
    <t>Prestamo a corto</t>
  </si>
  <si>
    <t xml:space="preserve">Ventas netas </t>
  </si>
  <si>
    <t>Banco Z</t>
  </si>
  <si>
    <t>Prestamo a largo</t>
  </si>
  <si>
    <t xml:space="preserve">Coste de las ventas </t>
  </si>
  <si>
    <t>Margen de contribución</t>
  </si>
  <si>
    <t xml:space="preserve">   Producción</t>
  </si>
  <si>
    <t xml:space="preserve">   Comercial + Publicidad</t>
  </si>
  <si>
    <t xml:space="preserve">   Administración </t>
  </si>
  <si>
    <t xml:space="preserve">   Transportes ventas </t>
  </si>
  <si>
    <t xml:space="preserve">   Dotación insolvencias </t>
  </si>
  <si>
    <t>Resultado de  explotación</t>
  </si>
  <si>
    <t xml:space="preserve">Gastos financieros </t>
  </si>
  <si>
    <t>Resultado antes impuestos</t>
  </si>
  <si>
    <t>Impuesto sociedades</t>
  </si>
  <si>
    <t>Resultado después impuestos</t>
  </si>
  <si>
    <t xml:space="preserve"> </t>
  </si>
  <si>
    <t>Ventas Netas</t>
  </si>
  <si>
    <t xml:space="preserve">Coste Ventas </t>
  </si>
  <si>
    <t xml:space="preserve">Margen </t>
  </si>
  <si>
    <t>% Margen/ Ventas</t>
  </si>
  <si>
    <t>% Margen/ Coste</t>
  </si>
  <si>
    <t>Cliente 1</t>
  </si>
  <si>
    <t>Cliente 2</t>
  </si>
  <si>
    <t>Cliente 3</t>
  </si>
  <si>
    <t>Cliente 4</t>
  </si>
  <si>
    <t>Cliente 5</t>
  </si>
  <si>
    <t>Cliente 6</t>
  </si>
  <si>
    <t>Cliente 7</t>
  </si>
  <si>
    <t>Cliente 8</t>
  </si>
  <si>
    <t>Cliente 9</t>
  </si>
  <si>
    <t>Cliente 10</t>
  </si>
  <si>
    <t xml:space="preserve">SAYDU SL </t>
  </si>
  <si>
    <t>Cliente 12</t>
  </si>
  <si>
    <t>Cliente 13</t>
  </si>
  <si>
    <t>Media ponderada</t>
  </si>
  <si>
    <t>Mínimo</t>
  </si>
  <si>
    <t>Primer Cuartil</t>
  </si>
  <si>
    <t xml:space="preserve">Mediana </t>
  </si>
  <si>
    <t xml:space="preserve">Tercer cuartil </t>
  </si>
  <si>
    <t>Máximo</t>
  </si>
  <si>
    <t xml:space="preserve">COMPARATIVA HOMOGENEIZADA </t>
  </si>
  <si>
    <t xml:space="preserve">A1- EPSILON </t>
  </si>
  <si>
    <t xml:space="preserve">En la cuenta del cliente 606 figura una entrada en efectivo ingresado en banco por importe de 50.000 euros,  y 20 salidas de 2500 euros </t>
  </si>
  <si>
    <t xml:space="preserve">Indemnización Secretaria Eva V. </t>
  </si>
  <si>
    <t xml:space="preserve">Si reconoce no es aporpiación indebida </t>
  </si>
  <si>
    <t>Debemos buscar titular</t>
  </si>
  <si>
    <t xml:space="preserve">Veinte entradas VIP Torneo Roland Garros  ,contabilizadas en gastos de relaciones públicas </t>
  </si>
  <si>
    <t>Servicos detective privado,  (no existen informes)</t>
  </si>
  <si>
    <t>Seguridad Personal ( sin factura), pago en efectivo</t>
  </si>
  <si>
    <t>Cargos en VISA, viaje a Londres realizado por Secretaria Eva V</t>
  </si>
  <si>
    <t xml:space="preserve">Detección por lso auditores de saldo discordante con filial americana </t>
  </si>
  <si>
    <t xml:space="preserve">NO CONSTITUYE APROPIACIÓN INDEBIDA </t>
  </si>
  <si>
    <t>La competencia post contrato según la legislación europea no existe sino se cobra por ella , en España</t>
  </si>
  <si>
    <t xml:space="preserve">su compromiso de no competencia es BOP. </t>
  </si>
  <si>
    <t>Ventas  BRECK-PILE últimos cinco años</t>
  </si>
  <si>
    <t>Ventas  KIMA TECH 2001-2006</t>
  </si>
  <si>
    <t>Unidades vendidas KIMANO</t>
  </si>
  <si>
    <t>Precio BRECKEL</t>
  </si>
  <si>
    <t xml:space="preserve">Cv BRECKEL </t>
  </si>
  <si>
    <t>MC BRECKEL</t>
  </si>
  <si>
    <t>Factor CAPITALIZADOR  **</t>
  </si>
  <si>
    <t xml:space="preserve">ESTADISTICA BANCO URANO SA </t>
  </si>
  <si>
    <t xml:space="preserve">( en miles de euros ) </t>
  </si>
  <si>
    <t xml:space="preserve">Importe depósitos </t>
  </si>
  <si>
    <t xml:space="preserve">Importe medio de cada depósito </t>
  </si>
  <si>
    <t>Ponderación</t>
  </si>
  <si>
    <t xml:space="preserve">Cálculo de la media ponderada </t>
  </si>
  <si>
    <t>MEDIANA</t>
  </si>
  <si>
    <t xml:space="preserve">Clientes - Mediana </t>
  </si>
  <si>
    <t>Media del año</t>
  </si>
  <si>
    <t xml:space="preserve">Media del año </t>
  </si>
  <si>
    <t xml:space="preserve">Margen obtenido por años </t>
  </si>
  <si>
    <t>Interes cobrado  (interés pagado/% Margen )</t>
  </si>
  <si>
    <t>Capitalizacion al tipo interés  5% ( mejor usar inflación )</t>
  </si>
  <si>
    <t>Valor capitalizado</t>
  </si>
  <si>
    <t>BAR</t>
  </si>
  <si>
    <t xml:space="preserve">Amortización </t>
  </si>
  <si>
    <t xml:space="preserve">COSTES FIJOS AHORRADOS y COSTES ADICIONALES </t>
  </si>
  <si>
    <t>Beneficio Bruto</t>
  </si>
  <si>
    <t>(1) % más bajo 2006-2007 40%</t>
  </si>
  <si>
    <t xml:space="preserve">Beneficio  + Costes fijos </t>
  </si>
  <si>
    <t xml:space="preserve">CARPINTERIA </t>
  </si>
  <si>
    <t>CAJAS MADERA</t>
  </si>
  <si>
    <t>Margen Bruto Cajas</t>
  </si>
  <si>
    <t>Coste de Ventas (1)</t>
  </si>
  <si>
    <t>GIRALDILLAS</t>
  </si>
  <si>
    <t>Margen Bruto Giraldillas</t>
  </si>
  <si>
    <t>Margen Bruto Total</t>
  </si>
  <si>
    <t>Alquiler transitorio</t>
  </si>
  <si>
    <t>Coste fijos</t>
  </si>
  <si>
    <t>Costes fijos + Beneficio</t>
  </si>
  <si>
    <t xml:space="preserve">Margen total + Costes ahorrados </t>
  </si>
  <si>
    <t xml:space="preserve">Precio franco fábrica </t>
  </si>
  <si>
    <t>Transporte</t>
  </si>
  <si>
    <t xml:space="preserve">Ingresos </t>
  </si>
  <si>
    <t xml:space="preserve">Coste máquina </t>
  </si>
  <si>
    <t>Coste transporte</t>
  </si>
  <si>
    <t xml:space="preserve">Coste </t>
  </si>
  <si>
    <t>LUCRO CESANTE POR PERDIDA DE VENTA sin posibilidad de venta</t>
  </si>
  <si>
    <t>LUCRO CESANTE POR PERDIDA DE VENTA y venta posterior</t>
  </si>
  <si>
    <t>º</t>
  </si>
  <si>
    <t xml:space="preserve">Ahorro recambios no comprados </t>
  </si>
  <si>
    <t>( 12.0000* 0,70)</t>
  </si>
  <si>
    <t xml:space="preserve">Transporte </t>
  </si>
  <si>
    <t xml:space="preserve">ERRORES EN RECONOCIMIENTO DE DEUDA </t>
  </si>
  <si>
    <t>Facturas pendientes a  01 de septiembre de 2010</t>
  </si>
  <si>
    <t xml:space="preserve">Fecha </t>
  </si>
  <si>
    <t>Factura</t>
  </si>
  <si>
    <t>CORRECTO</t>
  </si>
  <si>
    <t>INCORRECTO</t>
  </si>
  <si>
    <t>ERRORES</t>
  </si>
  <si>
    <t xml:space="preserve">Total </t>
  </si>
  <si>
    <t xml:space="preserve">Nota de gastos </t>
  </si>
  <si>
    <t>G 00102</t>
  </si>
  <si>
    <t xml:space="preserve">Devoluciones efectos girados </t>
  </si>
  <si>
    <t>Devolución</t>
  </si>
  <si>
    <t>Resumen</t>
  </si>
  <si>
    <t xml:space="preserve">Facturas pendientes </t>
  </si>
  <si>
    <t>Deuda Sr Gil a 01 de setiembre</t>
  </si>
  <si>
    <t>ERRORES RESPUESTA DE PIENSOS PSP</t>
  </si>
  <si>
    <t>RESPUESTA</t>
  </si>
  <si>
    <t xml:space="preserve">Deuda del Sr. Gil con Piensos PSP </t>
  </si>
  <si>
    <t>Reconocimiento de deuda Sr  Gil ( 01-09-2010) a Piensos PSP</t>
  </si>
  <si>
    <t>Facturas desde a  01 de septiembre de 2010</t>
  </si>
  <si>
    <t>**</t>
  </si>
  <si>
    <t>** Devuelta con posterioridad al reconocimiento</t>
  </si>
  <si>
    <t>Fra del Sr Gil por venta de utensilios ( cierre negocio)</t>
  </si>
  <si>
    <t>I 1001</t>
  </si>
  <si>
    <t>Deuda a favor de de Piensos PSP</t>
  </si>
  <si>
    <t>Año 2002</t>
  </si>
  <si>
    <t>Año 2001</t>
  </si>
  <si>
    <t>Año 2000</t>
  </si>
  <si>
    <t>Año 1999</t>
  </si>
  <si>
    <t>Año 1998</t>
  </si>
  <si>
    <t xml:space="preserve">AGROLISA SL </t>
  </si>
  <si>
    <t>Año 2003</t>
  </si>
  <si>
    <t>Consumo Materiales</t>
  </si>
  <si>
    <t>Dotaciones para amortiz. de inmovil.</t>
  </si>
  <si>
    <t>Beneficio neto/ Ventas</t>
  </si>
  <si>
    <t>Beneficio neto/ Consumos</t>
  </si>
  <si>
    <t>Información productos  WIRTS</t>
  </si>
  <si>
    <t xml:space="preserve"> TOTAL </t>
  </si>
  <si>
    <t>Ventas a clientes</t>
  </si>
  <si>
    <t>Consumos</t>
  </si>
  <si>
    <t>Margen comercial</t>
  </si>
  <si>
    <t xml:space="preserve">Compras </t>
  </si>
  <si>
    <t xml:space="preserve">CÁLCULO DE LA INDEMNIZACIÓN SEGÚN AGROLISA </t>
  </si>
  <si>
    <t>Año 2004</t>
  </si>
  <si>
    <t>Año 2005</t>
  </si>
  <si>
    <t>Año 2006</t>
  </si>
  <si>
    <t>Año 2007</t>
  </si>
  <si>
    <t>Año 2008</t>
  </si>
  <si>
    <t xml:space="preserve">Pérdida de Margen </t>
  </si>
  <si>
    <t>Tasa de descuento</t>
  </si>
  <si>
    <t>Valor actual neto</t>
  </si>
  <si>
    <t xml:space="preserve">CÁLCULO DE LA INDEMNIZACIÓN SEGÚN JUZGADO 1º INSTANCIA </t>
  </si>
  <si>
    <t xml:space="preserve">  Media </t>
  </si>
  <si>
    <t xml:space="preserve">CÁLCULO DE LA INDEMNIZACIÓN AUDIENCIA PROVINCIAL </t>
  </si>
  <si>
    <t>Compras a WIRTS</t>
  </si>
  <si>
    <t xml:space="preserve">Media anual </t>
  </si>
  <si>
    <t xml:space="preserve">% Beneficio medio </t>
  </si>
  <si>
    <t xml:space="preserve">Indemnización fondo comercio </t>
  </si>
  <si>
    <t xml:space="preserve">Indemnización lucro cesante </t>
  </si>
  <si>
    <t xml:space="preserve"> ( mitad fondo de comercio)</t>
  </si>
  <si>
    <t xml:space="preserve">Comentarios del autor </t>
  </si>
  <si>
    <t>de las remuneraciones percibidas por el agente durante los últimos 5 años o durante todo el period de duración del contrato si este fuera inferior</t>
  </si>
  <si>
    <t>La indemnización por clientela prevista en el art 28 de la ley de Contrato de Agencia determina que la base de la indemnización es  el importe medio</t>
  </si>
  <si>
    <t xml:space="preserve">En este caso la base seria pues la cifra media de compras realizada en los 5 últimos años. </t>
  </si>
  <si>
    <t xml:space="preserve">La remuneración anual se calcula sobre el porcentage del beneficio NETO sobre compras , cuando a mi modo de ver debería  ser calculado sobre el </t>
  </si>
  <si>
    <t xml:space="preserve">importe bruto ( ya que el distribuidor ya pagará sus impuestos al recibir la indemnización) y la remuneración que obtiene el ditribuidor es el margen </t>
  </si>
  <si>
    <t>comercial o de contribución tal como solicita el demandado.</t>
  </si>
  <si>
    <t xml:space="preserve">Si bien la LCA  reconoce como daños y perjuicios los gastos que el agente tenga pendientes de amortizar </t>
  </si>
  <si>
    <t>La novedad de lasentencia es renocer un apartado de lucro cesante con un "pírrica indemnización" , del 1,8 M que solicitaba el demandante, se ha</t>
  </si>
  <si>
    <t>conseguido una indemnización de 0,1 M sólo el ç</t>
  </si>
  <si>
    <t xml:space="preserve">El 29 junio de 2011, se publicó en el BOE el borrador de la Ley de Contratos de Distribución, respecto a las indemnizaciones por rescisión de contrato </t>
  </si>
  <si>
    <t xml:space="preserve">por las inveriones específicas no amortizadas, asimismo se determina que el proveedor al finalizar el contrato no deberá compensar al distribuidor </t>
  </si>
  <si>
    <r>
      <t xml:space="preserve">por la clientela.  </t>
    </r>
    <r>
      <rPr>
        <b/>
        <sz val="11"/>
        <color indexed="8"/>
        <rFont val="Calibri Light"/>
        <family val="2"/>
      </rPr>
      <t xml:space="preserve">Excepcionalmente </t>
    </r>
    <r>
      <rPr>
        <sz val="11"/>
        <color indexed="8"/>
        <rFont val="Calibri Light"/>
        <family val="2"/>
      </rPr>
      <t xml:space="preserve">se podrá reclamar indemnización , si la clientela se ha incrmentado y el distribuidor acredite que la clientela </t>
    </r>
  </si>
  <si>
    <t>seguirá reportando ventajas al proveedor. También se podrá fijar una indemnización por no competencia ( como máximo de un año). La cantidad</t>
  </si>
  <si>
    <t>reclamada por indemización no podrá exceder al media de la cifra de negocios del distribuidor durante lso últimos 5 años o durante el periodo  de</t>
  </si>
  <si>
    <t xml:space="preserve">contrato si este fuera menor. La prescripción al derecho de reclamación caduca al año. </t>
  </si>
  <si>
    <t xml:space="preserve">NO TIENE SOLUCIÓN </t>
  </si>
  <si>
    <t>SIN SOLUCIÓN</t>
  </si>
  <si>
    <t>FAVOR GIL</t>
  </si>
  <si>
    <t>FAVOR PSP</t>
  </si>
  <si>
    <t xml:space="preserve">ERROR EN LA SUMA </t>
  </si>
  <si>
    <t xml:space="preserve">FRA DUPLICADA EN DEVOLUCIONES Y FRAS PENDIENTES </t>
  </si>
  <si>
    <t xml:space="preserve">Incluida en la reconocimiento de deuda </t>
  </si>
  <si>
    <r>
      <t xml:space="preserve">PER SECTORIAL DE LA BOLSA ESPAÑOLA / </t>
    </r>
    <r>
      <rPr>
        <b/>
        <sz val="11"/>
        <color indexed="10"/>
        <rFont val="Calibri Light"/>
        <family val="2"/>
      </rPr>
      <t>PRICE EARNING RATIO (PER) BY SECTORS. SPANISH STOCK EXCHANGE</t>
    </r>
  </si>
  <si>
    <r>
      <t xml:space="preserve">Petróleo y Energía / </t>
    </r>
    <r>
      <rPr>
        <b/>
        <sz val="9"/>
        <color indexed="10"/>
        <rFont val="Calibri Light"/>
        <family val="2"/>
      </rPr>
      <t>Oil and energy</t>
    </r>
  </si>
  <si>
    <r>
      <t xml:space="preserve">Materiales Básicos, Industria y Construcción / </t>
    </r>
    <r>
      <rPr>
        <b/>
        <sz val="9"/>
        <color indexed="10"/>
        <rFont val="Calibri Light"/>
        <family val="2"/>
      </rPr>
      <t>Basic materials, industry and construction</t>
    </r>
  </si>
  <si>
    <r>
      <t xml:space="preserve">Bienes de Consumo / </t>
    </r>
    <r>
      <rPr>
        <b/>
        <sz val="9"/>
        <color indexed="10"/>
        <rFont val="Calibri Light"/>
        <family val="2"/>
      </rPr>
      <t>Consumer goods</t>
    </r>
  </si>
  <si>
    <r>
      <t xml:space="preserve">Servicios de Consumo / </t>
    </r>
    <r>
      <rPr>
        <b/>
        <sz val="9"/>
        <color indexed="10"/>
        <rFont val="Calibri Light"/>
        <family val="2"/>
      </rPr>
      <t>Consumer services</t>
    </r>
  </si>
  <si>
    <r>
      <t xml:space="preserve">Servicios Financieros e Inmobiliarios / </t>
    </r>
    <r>
      <rPr>
        <b/>
        <sz val="9"/>
        <color indexed="10"/>
        <rFont val="Calibri Light"/>
        <family val="2"/>
      </rPr>
      <t xml:space="preserve">Financial and real estate services </t>
    </r>
  </si>
  <si>
    <r>
      <t xml:space="preserve">Tecnología y Telecomunicaciones / </t>
    </r>
    <r>
      <rPr>
        <b/>
        <sz val="9"/>
        <color indexed="10"/>
        <rFont val="Calibri Light"/>
        <family val="2"/>
      </rPr>
      <t>Technology and telecommunications</t>
    </r>
  </si>
  <si>
    <t>Tasa ACUALIZACIÓN</t>
  </si>
  <si>
    <r>
      <t xml:space="preserve">Petróleo y Energía / </t>
    </r>
    <r>
      <rPr>
        <b/>
        <sz val="12"/>
        <color indexed="10"/>
        <rFont val="Calibri Light"/>
        <family val="2"/>
      </rPr>
      <t>Oil and energy</t>
    </r>
  </si>
  <si>
    <r>
      <t xml:space="preserve">Materiales Básicos, Industria y Construcción / </t>
    </r>
    <r>
      <rPr>
        <b/>
        <sz val="12"/>
        <color indexed="10"/>
        <rFont val="Calibri Light"/>
        <family val="2"/>
      </rPr>
      <t>Basic materials, industry and construction</t>
    </r>
  </si>
  <si>
    <r>
      <t xml:space="preserve">Bienes de Consumo / </t>
    </r>
    <r>
      <rPr>
        <b/>
        <sz val="12"/>
        <color indexed="10"/>
        <rFont val="Calibri Light"/>
        <family val="2"/>
      </rPr>
      <t>Consumer goods</t>
    </r>
  </si>
  <si>
    <r>
      <t xml:space="preserve">Servicios de Consumo / </t>
    </r>
    <r>
      <rPr>
        <b/>
        <sz val="12"/>
        <color indexed="10"/>
        <rFont val="Calibri Light"/>
        <family val="2"/>
      </rPr>
      <t>Consumer services</t>
    </r>
  </si>
  <si>
    <r>
      <t xml:space="preserve">Servicios Financieros e Inmobiliarios / </t>
    </r>
    <r>
      <rPr>
        <b/>
        <sz val="12"/>
        <color indexed="10"/>
        <rFont val="Calibri Light"/>
        <family val="2"/>
      </rPr>
      <t xml:space="preserve">Financial and real estate services </t>
    </r>
  </si>
  <si>
    <r>
      <t xml:space="preserve">Tecnología y Telecomunicaciones / </t>
    </r>
    <r>
      <rPr>
        <b/>
        <sz val="12"/>
        <color indexed="10"/>
        <rFont val="Calibri Light"/>
        <family val="2"/>
      </rPr>
      <t>Technology and telecommunications</t>
    </r>
  </si>
  <si>
    <t xml:space="preserve">% de Variación anual </t>
  </si>
  <si>
    <t xml:space="preserve">ASADOR DE CRESCENCIO </t>
  </si>
  <si>
    <t xml:space="preserve">Deudas </t>
  </si>
  <si>
    <t>RECLAMAR</t>
  </si>
  <si>
    <t xml:space="preserve">NO RECLAMAR </t>
  </si>
  <si>
    <t xml:space="preserve">CÁLCULO DEL  PERJUICIO CAUSADO </t>
  </si>
  <si>
    <t>esta incluido en Lucro Cesante</t>
  </si>
  <si>
    <t xml:space="preserve">reclamamos la nueva </t>
  </si>
  <si>
    <t>Días de paro  7</t>
  </si>
  <si>
    <t>Margen perdido - coste ahorrados**</t>
  </si>
  <si>
    <t>**Costes ahorrados no poseemos desglose: básicamente suministros</t>
  </si>
  <si>
    <t>Margen perdido</t>
  </si>
  <si>
    <t xml:space="preserve">(se debe estudiar la posibilidad o no de recuperación según normativa vigente) </t>
  </si>
  <si>
    <t xml:space="preserve">( el cálculo del lucro cesante invalida la posibilidad de incluir en el daño emergente el coste a efectos de permuta del local 1,5 M </t>
  </si>
  <si>
    <t xml:space="preserve">siempre es inferior al valor real ) </t>
  </si>
  <si>
    <t>Coeficiente actualización</t>
  </si>
  <si>
    <t>Flujos actualizados</t>
  </si>
  <si>
    <t>Flujos actualizados acumulado</t>
  </si>
  <si>
    <t xml:space="preserve">Ingresos netos por alquileres </t>
  </si>
  <si>
    <t>Factor de aplicación**</t>
  </si>
  <si>
    <t>Flujos deflactados</t>
  </si>
  <si>
    <t xml:space="preserve">** Para introducir el riesgo de la probabilidad de que el arrendatario no cese en el contrato antes del vencimiento. </t>
  </si>
  <si>
    <t xml:space="preserve">EL CASO ES UN DICTAMEN ( ENUNCIADO Y SOLUCIÓN ) </t>
  </si>
  <si>
    <t xml:space="preserve">LA FABRICA DEL VAQUERO SL </t>
  </si>
  <si>
    <t>miles €</t>
  </si>
  <si>
    <t xml:space="preserve">Otros inmovilizados </t>
  </si>
  <si>
    <t xml:space="preserve">Otros activos corrientes </t>
  </si>
  <si>
    <t xml:space="preserve">Pasivo no corriente </t>
  </si>
  <si>
    <t xml:space="preserve">Pasivo corriente </t>
  </si>
  <si>
    <t>Deudas financieras</t>
  </si>
  <si>
    <t>Ingresos de explotación</t>
  </si>
  <si>
    <t>Resultado Ejercicio</t>
  </si>
  <si>
    <t xml:space="preserve">Datos </t>
  </si>
  <si>
    <t xml:space="preserve"> % Margen Bruto </t>
  </si>
  <si>
    <t xml:space="preserve">Este margen bruto es muy inferior a  las empresas del sector cuya media está en un 30% que era </t>
  </si>
  <si>
    <t xml:space="preserve">el margen existente en 2001 , antes de la fabricación de los productos BB </t>
  </si>
  <si>
    <t xml:space="preserve">Incremento de ventas </t>
  </si>
  <si>
    <t>( atribuible a BB)</t>
  </si>
  <si>
    <t>Margen obtenido</t>
  </si>
  <si>
    <t xml:space="preserve">Royalty pagado </t>
  </si>
  <si>
    <t xml:space="preserve">Margen anual perdido </t>
  </si>
  <si>
    <t xml:space="preserve">Margen acumulado </t>
  </si>
  <si>
    <t>( a estas cantidades se deberían añadir los intereses legales)</t>
  </si>
  <si>
    <t xml:space="preserve">Royalty anual  a pagar </t>
  </si>
  <si>
    <t>Intereses anuales</t>
  </si>
  <si>
    <t>Intereses acumulado</t>
  </si>
  <si>
    <t>Total indemnización</t>
  </si>
  <si>
    <t xml:space="preserve">Royaltis acumulados </t>
  </si>
  <si>
    <t>SOLUCIÓN SOBRE LA PÉRDIDA DE MARGEN (en miles de euros)</t>
  </si>
  <si>
    <t xml:space="preserve">SOLUCIÓN PAGO ROYALTY (en miles de euros) </t>
  </si>
  <si>
    <t xml:space="preserve">SIN SOLUCIÓN </t>
  </si>
  <si>
    <t xml:space="preserve">PLAN FINANCIERO SUPERMERCADOS LAGROS (AVILÉS) </t>
  </si>
  <si>
    <t>CUENTA DE PERDIDAS Y GANANCIAS</t>
  </si>
  <si>
    <t>Trabajos empresa propio inmovilizado</t>
  </si>
  <si>
    <t>Amortización subvenciones</t>
  </si>
  <si>
    <t>Otros ingresos</t>
  </si>
  <si>
    <t>Subvenciones a la explotación</t>
  </si>
  <si>
    <t>Costes variables fabricación</t>
  </si>
  <si>
    <t xml:space="preserve">Costes variables comerciales </t>
  </si>
  <si>
    <t xml:space="preserve">Margen bruto de contribución </t>
  </si>
  <si>
    <t xml:space="preserve">Sueldos y salarios </t>
  </si>
  <si>
    <t xml:space="preserve">Seguridad Social a cargo empresa </t>
  </si>
  <si>
    <t>Gastos de estructura e/ IVA</t>
  </si>
  <si>
    <t>Gastos de estructura s/ IVA</t>
  </si>
  <si>
    <t>Amortización intangibles</t>
  </si>
  <si>
    <t xml:space="preserve">Amortización materiales </t>
  </si>
  <si>
    <t>Tributos</t>
  </si>
  <si>
    <t>EBIT/ BAIT</t>
  </si>
  <si>
    <t>Intereses arrendamiento financiero</t>
  </si>
  <si>
    <t xml:space="preserve">Intereses prestamos </t>
  </si>
  <si>
    <t>Intereses descuento bancario</t>
  </si>
  <si>
    <t>Intereses a n/ favor (en negativo)</t>
  </si>
  <si>
    <t>RESULTADO FINANCIERO</t>
  </si>
  <si>
    <t>EBT / BAT</t>
  </si>
  <si>
    <t>Impuesto de sociedades</t>
  </si>
  <si>
    <t xml:space="preserve">PRESUPUESTO FINANCIERO </t>
  </si>
  <si>
    <t>PRESUPUESTO FINANCIERO CORRIENTE</t>
  </si>
  <si>
    <t xml:space="preserve">Cobros </t>
  </si>
  <si>
    <t>Cobros de clientes</t>
  </si>
  <si>
    <t>Cobros IVA</t>
  </si>
  <si>
    <t>Impuesto de sociedades a devolver</t>
  </si>
  <si>
    <t>Descuento bancario</t>
  </si>
  <si>
    <t>Cobro otros deudores</t>
  </si>
  <si>
    <t>TOTAL COBROS</t>
  </si>
  <si>
    <t xml:space="preserve">Pagos </t>
  </si>
  <si>
    <t>A proveedores</t>
  </si>
  <si>
    <t>Costes comerciales</t>
  </si>
  <si>
    <t>Sueldos y salarios</t>
  </si>
  <si>
    <t>Seguridad Social</t>
  </si>
  <si>
    <t>IRPF</t>
  </si>
  <si>
    <t>Gastos estructura</t>
  </si>
  <si>
    <t xml:space="preserve">Tributos </t>
  </si>
  <si>
    <t>IVA</t>
  </si>
  <si>
    <t>Impuesto de sociedades liquidación</t>
  </si>
  <si>
    <t>Impuesto de sociedades pagos a cuenta</t>
  </si>
  <si>
    <t>Pagos otros  deudores</t>
  </si>
  <si>
    <t>Pagos otros acreedores</t>
  </si>
  <si>
    <t>Vecimientos descuento bancario</t>
  </si>
  <si>
    <t>TOTAL PAGOS</t>
  </si>
  <si>
    <t>DIFERENCIA ANUAL</t>
  </si>
  <si>
    <t xml:space="preserve">DIFERENCIA ACUMULADA </t>
  </si>
  <si>
    <t>PRESUPUESTO FINANCIERO CAPITAL</t>
  </si>
  <si>
    <t xml:space="preserve">Aumentos de capital </t>
  </si>
  <si>
    <t>Prima de emisión</t>
  </si>
  <si>
    <t>Suvbenciones de capital</t>
  </si>
  <si>
    <t>Préstamos a largo plazo</t>
  </si>
  <si>
    <t xml:space="preserve">Arrendamientos financieros </t>
  </si>
  <si>
    <t>Recuperación inversiones financieras</t>
  </si>
  <si>
    <t>Recuperación otros inmovilizados</t>
  </si>
  <si>
    <t>Intereses a n/f</t>
  </si>
  <si>
    <t>TOTAL  COBROS</t>
  </si>
  <si>
    <t xml:space="preserve">Pagos inversiones </t>
  </si>
  <si>
    <t>Pagos inversiones en inmovilizado inmaterial</t>
  </si>
  <si>
    <t>Pagos inversiones en inmovilizado material</t>
  </si>
  <si>
    <t>Pagos otros proveedores inmovilizado</t>
  </si>
  <si>
    <t xml:space="preserve">Pago inversiones financieras </t>
  </si>
  <si>
    <t>Amortización de préstamos y leasings</t>
  </si>
  <si>
    <t>Arrendamientos financieros (cuotas+ iva)</t>
  </si>
  <si>
    <t>Pago intereses</t>
  </si>
  <si>
    <t>Intereses préstamos</t>
  </si>
  <si>
    <t>Otros recursos propios</t>
  </si>
  <si>
    <t>Disminuciones capital</t>
  </si>
  <si>
    <t xml:space="preserve">DIFERENCIA  ANUAL </t>
  </si>
  <si>
    <t>ESTIMACIÓN DEL ESTADO DE TESORERIA  GLOBAL</t>
  </si>
  <si>
    <t>DISPONIBLE  INICIAL</t>
  </si>
  <si>
    <t>NECESIDAD FINANCERA  INICIAL</t>
  </si>
  <si>
    <t>DIFERENCIA PERIODO</t>
  </si>
  <si>
    <t>DISPONIBLE  MÍNIMO</t>
  </si>
  <si>
    <t>DISPONIBLE FINAL</t>
  </si>
  <si>
    <t>NECESIDAD FINANCERA FINAL</t>
  </si>
  <si>
    <t xml:space="preserve">BALANCE PREVISIONAL </t>
  </si>
  <si>
    <t xml:space="preserve">INICIAL </t>
  </si>
  <si>
    <t xml:space="preserve">ACTIVO INMOVILIZADO </t>
  </si>
  <si>
    <t>Desarrollo</t>
  </si>
  <si>
    <t xml:space="preserve">Patentes, invenciones y marcas </t>
  </si>
  <si>
    <t>Aplicaciones informáticas</t>
  </si>
  <si>
    <t>Otro inmovilizado inmaterial</t>
  </si>
  <si>
    <t xml:space="preserve">(Amortización acumulada) </t>
  </si>
  <si>
    <t>Total inmovilizado intangible</t>
  </si>
  <si>
    <t>Terrenos y construcciones</t>
  </si>
  <si>
    <t>Maquinaria, instalaciones y utillaje</t>
  </si>
  <si>
    <t xml:space="preserve">Otro inmovilizado material </t>
  </si>
  <si>
    <t>Total inmovilizado  material</t>
  </si>
  <si>
    <t>Otro tipo de inmovilizado</t>
  </si>
  <si>
    <t>Otro inmovilizado financiero</t>
  </si>
  <si>
    <t xml:space="preserve">Total inmovilizado financiero y otros </t>
  </si>
  <si>
    <t>TOTAL INMOVILIZADO NETO</t>
  </si>
  <si>
    <t>Materias primas</t>
  </si>
  <si>
    <t>Producción en curso</t>
  </si>
  <si>
    <t>Productos acabados</t>
  </si>
  <si>
    <t>Total stocks</t>
  </si>
  <si>
    <t>Clientes</t>
  </si>
  <si>
    <t>Hacienda deudora devolución IS</t>
  </si>
  <si>
    <t>Hacienda deudora devolución IVA</t>
  </si>
  <si>
    <t>Hacienda deudora pagos a cuenta IS</t>
  </si>
  <si>
    <t xml:space="preserve">Iva a compensar </t>
  </si>
  <si>
    <t>Total deudores</t>
  </si>
  <si>
    <t xml:space="preserve">Tesoreria y bancos </t>
  </si>
  <si>
    <t>TOTAL ACTIVO CIRCULANTE</t>
  </si>
  <si>
    <t>TOTAL   ACTIVO</t>
  </si>
  <si>
    <t>PASIVO Y PATRIMONIO NETO</t>
  </si>
  <si>
    <t>Capital</t>
  </si>
  <si>
    <t xml:space="preserve">Prima de emisión </t>
  </si>
  <si>
    <t>Reserves / Resultados Negativos</t>
  </si>
  <si>
    <t>Resultado ejercicio anterior</t>
  </si>
  <si>
    <t>Resultado ejercicio</t>
  </si>
  <si>
    <t xml:space="preserve">Subvenciones en capital </t>
  </si>
  <si>
    <t xml:space="preserve">TOTAL RECURSOS PROPIOS </t>
  </si>
  <si>
    <t>Arrendamiento financiero</t>
  </si>
  <si>
    <t xml:space="preserve">Hacienda impuestos diferidos subvenciones </t>
  </si>
  <si>
    <t xml:space="preserve">TOTAL EXIGIBLE A LARGO </t>
  </si>
  <si>
    <t>Proveedores</t>
  </si>
  <si>
    <t>Acreedores</t>
  </si>
  <si>
    <t>Hacienda Publica acredora por IVA</t>
  </si>
  <si>
    <t>Hacienda Publica acredora por IS</t>
  </si>
  <si>
    <t>Hacienda Publica acredora por IRPF</t>
  </si>
  <si>
    <t>Seguridad Social acreedora</t>
  </si>
  <si>
    <t>Proveedores de inmovilizado</t>
  </si>
  <si>
    <t xml:space="preserve">Descuento bancario </t>
  </si>
  <si>
    <t xml:space="preserve">NECESIDAD DE TESORERIA  </t>
  </si>
  <si>
    <t xml:space="preserve">TOTAL EXIGIBLE A CORTO </t>
  </si>
  <si>
    <t>TOTAL PASIVO Y PATRIMONIO NETO</t>
  </si>
  <si>
    <t>VAN  perpetuo ( antes impuestos)</t>
  </si>
  <si>
    <t>VAN  perpetuo ( después de  impuestos)</t>
  </si>
  <si>
    <t>TIR</t>
  </si>
  <si>
    <t xml:space="preserve"> - Deuda</t>
  </si>
  <si>
    <t>Valor acciones</t>
  </si>
  <si>
    <t>CONSTRUCCIONES VALERÓN (SOLUCIÓN)</t>
  </si>
  <si>
    <t xml:space="preserve">Daños emergentes </t>
  </si>
  <si>
    <t>reclamable</t>
  </si>
  <si>
    <t xml:space="preserve">Compromisos de contratos industriales </t>
  </si>
  <si>
    <t xml:space="preserve">Canon franquicia </t>
  </si>
  <si>
    <t xml:space="preserve">Pérdida en venta del  local </t>
  </si>
  <si>
    <t xml:space="preserve">TOTAL DAÑO EMERGENTE </t>
  </si>
  <si>
    <t>FCF actualizado Wacc</t>
  </si>
  <si>
    <t xml:space="preserve">Indemnización a solicitar </t>
  </si>
  <si>
    <t>Reconstrucción del suelo</t>
  </si>
  <si>
    <t xml:space="preserve">MARC &amp; MAX FOTOGRAFIA SL </t>
  </si>
  <si>
    <t xml:space="preserve">miles euros </t>
  </si>
  <si>
    <t>Otros activos fijos</t>
  </si>
  <si>
    <t>Otros activos líquidos</t>
  </si>
  <si>
    <t>Exigible a largo</t>
  </si>
  <si>
    <t>Otros pasivos fijos</t>
  </si>
  <si>
    <t>Provisiones</t>
  </si>
  <si>
    <t>Exigible a corto</t>
  </si>
  <si>
    <t>Otros pasivos líquidos</t>
  </si>
  <si>
    <t>Ingresos extraordinarios</t>
  </si>
  <si>
    <t>Gastos extraordinarios</t>
  </si>
  <si>
    <t>Resultados actividades extraordinarias</t>
  </si>
  <si>
    <t xml:space="preserve">MEDIANA </t>
  </si>
  <si>
    <t>Total Activo</t>
  </si>
  <si>
    <t>Rentabilidad económica (%)</t>
  </si>
  <si>
    <t>Rentabilidad financiera (%)</t>
  </si>
  <si>
    <t>Endeudamiento (%)</t>
  </si>
  <si>
    <t xml:space="preserve">CÁLCULO DE LA MEDIANA DE LOS TRES ULTIMOS EJERCICIOS DE LAS MAGNITUDES PRINCIPALES </t>
  </si>
  <si>
    <t>Empresa</t>
  </si>
  <si>
    <t>Activo</t>
  </si>
  <si>
    <t>Fondos Propios</t>
  </si>
  <si>
    <t>ROA</t>
  </si>
  <si>
    <t>ROE</t>
  </si>
  <si>
    <t xml:space="preserve">Endeudamiento </t>
  </si>
  <si>
    <t>Empleados</t>
  </si>
  <si>
    <t>mil EUR</t>
  </si>
  <si>
    <t>Empresa 1</t>
  </si>
  <si>
    <t>Empresa 2</t>
  </si>
  <si>
    <t>Empresa 3</t>
  </si>
  <si>
    <t>Empresa 4</t>
  </si>
  <si>
    <t>Empresa 5</t>
  </si>
  <si>
    <t>Empresa 6</t>
  </si>
  <si>
    <t>Empresa 7</t>
  </si>
  <si>
    <t>Empresa 8</t>
  </si>
  <si>
    <t>Empresa 9</t>
  </si>
  <si>
    <t>Empresa 10</t>
  </si>
  <si>
    <t>Empresa 11</t>
  </si>
  <si>
    <t>Empresa 12</t>
  </si>
  <si>
    <t>Empresa 13</t>
  </si>
  <si>
    <t>Empresa 14</t>
  </si>
  <si>
    <t>Empresa 15</t>
  </si>
  <si>
    <t>Empresa 16</t>
  </si>
  <si>
    <t>Empresa 17</t>
  </si>
  <si>
    <t>Empresa 18</t>
  </si>
  <si>
    <t>Empresa 19</t>
  </si>
  <si>
    <t>Empresa 20</t>
  </si>
  <si>
    <t>n.d.</t>
  </si>
  <si>
    <t>Mediana 4 años</t>
  </si>
  <si>
    <t xml:space="preserve">Media 4 años </t>
  </si>
  <si>
    <t xml:space="preserve">EJERCICIO 2006 DATOS COMPARATIVOS 20 EMPRESAS </t>
  </si>
  <si>
    <t xml:space="preserve">EJERCICIO 2005 DATOS COMPARATIVOS 20 EMPRESAS </t>
  </si>
  <si>
    <t xml:space="preserve">EJERCICIO 2004 DATOS COMPARATIVOS 20 EMPRESAS </t>
  </si>
  <si>
    <t xml:space="preserve">EJERCICIO 2003 DATOS COMPARATIVOS 20 EMPRESAS </t>
  </si>
  <si>
    <t xml:space="preserve">Cálculo realizado a partir de todos los datos </t>
  </si>
  <si>
    <t xml:space="preserve">Cálculo valor empresa a partir del FCF, Cfac; CCF: opción sin endeudamiento ni variaciones </t>
  </si>
  <si>
    <t xml:space="preserve">MARC &amp; MAX </t>
  </si>
  <si>
    <t>Vresidual</t>
  </si>
  <si>
    <t xml:space="preserve">Dividendos </t>
  </si>
  <si>
    <t>Tasa de crecimiento (g)</t>
  </si>
  <si>
    <t>Cfac (Cash flow accionista)</t>
  </si>
  <si>
    <t xml:space="preserve">Cash Flow deuda </t>
  </si>
  <si>
    <t>CFd ( cash flow deuda )</t>
  </si>
  <si>
    <t>5 años</t>
  </si>
  <si>
    <t>V residual</t>
  </si>
  <si>
    <t xml:space="preserve">FCF </t>
  </si>
  <si>
    <t>Tasa de descuento WACC</t>
  </si>
  <si>
    <t xml:space="preserve">CRITERIOS DE VALORACIÓN </t>
  </si>
  <si>
    <t>METODOS HISTÓRICOS</t>
  </si>
  <si>
    <t>MARC &amp; MAX</t>
  </si>
  <si>
    <t>20 AFINES</t>
  </si>
  <si>
    <t>Ultimo año</t>
  </si>
  <si>
    <t xml:space="preserve">3 años </t>
  </si>
  <si>
    <t xml:space="preserve">4años </t>
  </si>
  <si>
    <t xml:space="preserve">4 años </t>
  </si>
  <si>
    <t>M &amp; M</t>
  </si>
  <si>
    <t xml:space="preserve"> 20 empresas</t>
  </si>
  <si>
    <t xml:space="preserve">Valor contable </t>
  </si>
  <si>
    <t xml:space="preserve">Fondos propios </t>
  </si>
  <si>
    <t xml:space="preserve">Valor contable ajustado </t>
  </si>
  <si>
    <t xml:space="preserve">Fondos propios + plusvalia </t>
  </si>
  <si>
    <t>( Ejemplo un inmueble se valora 45.000 más )</t>
  </si>
  <si>
    <t xml:space="preserve">Valor de liquidación </t>
  </si>
  <si>
    <t xml:space="preserve">Es un valor en caso de liquidar , normalmente por debajo del contable </t>
  </si>
  <si>
    <t>( Valores a precio de mercado y costes de indemnizaciones cese)</t>
  </si>
  <si>
    <t>Valor sustancial</t>
  </si>
  <si>
    <t xml:space="preserve">Inversión que debería hacerce para constituir una empresa idéntica </t>
  </si>
  <si>
    <t>Bruto = Activo ( Activo neto real)</t>
  </si>
  <si>
    <t>Neto Patrimonial  = Activo - Pasivo</t>
  </si>
  <si>
    <t xml:space="preserve">Inversión Bruta reducida = Activo - Financiación espontánea </t>
  </si>
  <si>
    <t xml:space="preserve">PER </t>
  </si>
  <si>
    <t xml:space="preserve">Beneficios por un coeficiente </t>
  </si>
  <si>
    <t>MULTIPLO</t>
  </si>
  <si>
    <t>Mediana 3/4  años</t>
  </si>
  <si>
    <t xml:space="preserve">Media 3/4años </t>
  </si>
  <si>
    <t xml:space="preserve">Múltiplo de Ventas </t>
  </si>
  <si>
    <t>MÉTODOS MIXTOS</t>
  </si>
  <si>
    <t xml:space="preserve">Basados en el fondo de comercio </t>
  </si>
  <si>
    <t>Método clásico</t>
  </si>
  <si>
    <t>Activo Neto</t>
  </si>
  <si>
    <t>N</t>
  </si>
  <si>
    <t>BN o V</t>
  </si>
  <si>
    <t>Industria</t>
  </si>
  <si>
    <t>Valor = Activo neto + (N * Beneficio neto)</t>
  </si>
  <si>
    <t>Comercio</t>
  </si>
  <si>
    <t>Valor = Activo neto + (N * Ventas)</t>
  </si>
  <si>
    <t xml:space="preserve">Método simplificado de renta goodwill  UEC simplificado </t>
  </si>
  <si>
    <t>AN+ VNA(t; ∑BN1………..BNN-∑BA1………..BAN )</t>
  </si>
  <si>
    <t>Tasa</t>
  </si>
  <si>
    <t>Alternativa (i)</t>
  </si>
  <si>
    <t xml:space="preserve">Alternativa </t>
  </si>
  <si>
    <t>Valor = Activo neto corregido+ valor actualizado beneficio neto</t>
  </si>
  <si>
    <t>Superbeneficio</t>
  </si>
  <si>
    <t>Previsto</t>
  </si>
  <si>
    <t xml:space="preserve"> Requerido</t>
  </si>
  <si>
    <t>Beneficio 1</t>
  </si>
  <si>
    <t>Beneficio 2</t>
  </si>
  <si>
    <t>Beneficio 3</t>
  </si>
  <si>
    <t>Beneficio 4</t>
  </si>
  <si>
    <t>t</t>
  </si>
  <si>
    <t>Beneficio 5</t>
  </si>
  <si>
    <t>Tasa de actualización (t)</t>
  </si>
  <si>
    <t>VAN</t>
  </si>
  <si>
    <t>Valor</t>
  </si>
  <si>
    <t xml:space="preserve"> V= A+ vna (t;(B-iA))</t>
  </si>
  <si>
    <t>Método del Unión expertos contables europeos (UEC)</t>
  </si>
  <si>
    <t>Valor = (Activo neto corregido+  beneficio neto) Actualizados a i</t>
  </si>
  <si>
    <t>i</t>
  </si>
  <si>
    <t>Tasa alternativa (i)</t>
  </si>
  <si>
    <t xml:space="preserve"> V= (A+(nxB))/(1+i)^n</t>
  </si>
  <si>
    <t>Método indirecto de los prácticos (indirecto)</t>
  </si>
  <si>
    <t>Valor = (Activo neto corregido+  beneficio neto capitalizado)/ 2</t>
  </si>
  <si>
    <t>Tipo BE ( i)</t>
  </si>
  <si>
    <t>Beneficio neto</t>
  </si>
  <si>
    <t xml:space="preserve">SUBTOTAL </t>
  </si>
  <si>
    <t xml:space="preserve">denominador </t>
  </si>
  <si>
    <t xml:space="preserve"> V= (A+Bi)/2</t>
  </si>
  <si>
    <t xml:space="preserve">  o (A+ (B-iA)/2i)</t>
  </si>
  <si>
    <t>Método anglosajón (directo)</t>
  </si>
  <si>
    <t>AN+ (B- iA)/ tm</t>
  </si>
  <si>
    <t>Alternat BE 5% (i)</t>
  </si>
  <si>
    <t>Rendimiento esperado activo neto</t>
  </si>
  <si>
    <t>tm</t>
  </si>
  <si>
    <t>Tasa títulos renta fija + prima riesgo 50%</t>
  </si>
  <si>
    <t>Actualización superbeneficio</t>
  </si>
  <si>
    <t>VALOR</t>
  </si>
  <si>
    <t>V= A+(B-iA)/tm</t>
  </si>
  <si>
    <t xml:space="preserve">Método de compra de resultados anuales </t>
  </si>
  <si>
    <t>Alternat. 5%</t>
  </si>
  <si>
    <t>m</t>
  </si>
  <si>
    <t>Numero de años a utilizar</t>
  </si>
  <si>
    <t>Suma superbeneficio</t>
  </si>
  <si>
    <t>V = A+ m ( B-iA)</t>
  </si>
  <si>
    <t>Método de la tasa con riesgo</t>
  </si>
  <si>
    <t>Tasa + riesgo</t>
  </si>
  <si>
    <t>Tasa de colocación sin riesgo</t>
  </si>
  <si>
    <t>Tasa con riesgo</t>
  </si>
  <si>
    <t>(1+ i/t)</t>
  </si>
  <si>
    <t xml:space="preserve">MÉTODOS BASADOS EN EL BALANCE </t>
  </si>
  <si>
    <t xml:space="preserve">MÉTODOS BASADOS EN LA CUENTA DE RESULTADOS </t>
  </si>
  <si>
    <t xml:space="preserve">El valor determinado por los métodos mixtos está entre 65 y 79 si quitamos los dos valores de cada extremo </t>
  </si>
  <si>
    <t xml:space="preserve">Suponemos que tenemos un activo ( valor adquisición 10.000 u.m.)del que obtenemos a perpetuidad </t>
  </si>
  <si>
    <t>una rentabilidad del 10% ( hipotética)</t>
  </si>
  <si>
    <t xml:space="preserve">Cuenta de explotación anual </t>
  </si>
  <si>
    <t>SIN DEUDA</t>
  </si>
  <si>
    <t xml:space="preserve">DEUDA </t>
  </si>
  <si>
    <t>EBIT-BAIT</t>
  </si>
  <si>
    <t xml:space="preserve">Beneficio antes intereses e impuestos </t>
  </si>
  <si>
    <t xml:space="preserve">  - Intereses</t>
  </si>
  <si>
    <t>EBT - BAT</t>
  </si>
  <si>
    <t xml:space="preserve">Beneficio antes de impuestos </t>
  </si>
  <si>
    <t xml:space="preserve">  - Impuesto sociedades ( 25%)</t>
  </si>
  <si>
    <t>Beneficio neto ( después de impuestos)</t>
  </si>
  <si>
    <t>Inversión en activo</t>
  </si>
  <si>
    <t xml:space="preserve">Financiación </t>
  </si>
  <si>
    <t xml:space="preserve">Recursos propios </t>
  </si>
  <si>
    <t>Deuda ( Kd = 3%) ( perpetua)</t>
  </si>
  <si>
    <t>Fórmula de cálculo</t>
  </si>
  <si>
    <t>Vu</t>
  </si>
  <si>
    <t>Valor de las acciones sin deuda = activo</t>
  </si>
  <si>
    <t>Vts</t>
  </si>
  <si>
    <t xml:space="preserve">Valor actual ahorro impuestos por intereses </t>
  </si>
  <si>
    <t>Valor de la deuda</t>
  </si>
  <si>
    <t xml:space="preserve">Valor de las acciones ( equity) </t>
  </si>
  <si>
    <t>Vl</t>
  </si>
  <si>
    <t xml:space="preserve">Valor empresa  </t>
  </si>
  <si>
    <t>D+E = Vu+Vts</t>
  </si>
  <si>
    <t xml:space="preserve">Tipo impositivo impuesto sociedades </t>
  </si>
  <si>
    <t>BDT/E</t>
  </si>
  <si>
    <t xml:space="preserve">Rentabilidad exigida a las acciones sin  deuda= rentabilidad exigida a los activos </t>
  </si>
  <si>
    <r>
      <t xml:space="preserve">Coste ponderado de los recursos= </t>
    </r>
    <r>
      <rPr>
        <i/>
        <sz val="12"/>
        <color theme="1"/>
        <rFont val="Calibri Light"/>
        <family val="2"/>
      </rPr>
      <t xml:space="preserve">Weighted Average Cost of Capital </t>
    </r>
    <r>
      <rPr>
        <sz val="12"/>
        <color theme="1"/>
        <rFont val="Calibri Light"/>
        <family val="2"/>
      </rPr>
      <t xml:space="preserve">
</t>
    </r>
  </si>
  <si>
    <t>(E*Ke + D*Kd*(1-T))/(D+E)</t>
  </si>
  <si>
    <t>WACC antes T</t>
  </si>
  <si>
    <r>
      <t xml:space="preserve">Coste ponderado de los recursos= </t>
    </r>
    <r>
      <rPr>
        <i/>
        <sz val="12"/>
        <rFont val="Calibri Light"/>
        <family val="2"/>
      </rPr>
      <t xml:space="preserve">Weighted Average Cost of Capital </t>
    </r>
    <r>
      <rPr>
        <sz val="12"/>
        <rFont val="Calibri Light"/>
        <family val="2"/>
      </rPr>
      <t xml:space="preserve">
</t>
    </r>
  </si>
  <si>
    <t>(E*Ke + D*Kd)/(D+E)</t>
  </si>
  <si>
    <t xml:space="preserve">MÉTODOS DE ACTUALIZACIÓN DE FLUJOS </t>
  </si>
  <si>
    <r>
      <t>APV -</t>
    </r>
    <r>
      <rPr>
        <i/>
        <sz val="12"/>
        <color theme="1"/>
        <rFont val="Calibri Light"/>
        <family val="2"/>
      </rPr>
      <t>Ajusted present value sobre Ku</t>
    </r>
  </si>
  <si>
    <r>
      <t xml:space="preserve">FCF - </t>
    </r>
    <r>
      <rPr>
        <i/>
        <sz val="12"/>
        <color theme="1"/>
        <rFont val="Calibri Light"/>
        <family val="2"/>
      </rPr>
      <t>Free cash flow sobre WACC</t>
    </r>
  </si>
  <si>
    <r>
      <t xml:space="preserve">CCF- </t>
    </r>
    <r>
      <rPr>
        <i/>
        <sz val="12"/>
        <color theme="1"/>
        <rFont val="Calibri Light"/>
        <family val="2"/>
      </rPr>
      <t xml:space="preserve">Capital Cash Flow sobre WACC antes T </t>
    </r>
  </si>
  <si>
    <r>
      <t xml:space="preserve">CFA- </t>
    </r>
    <r>
      <rPr>
        <i/>
        <sz val="12"/>
        <color theme="1"/>
        <rFont val="Calibri Light"/>
        <family val="2"/>
      </rPr>
      <t>Cash Flow Accionsita sobre Ke</t>
    </r>
  </si>
  <si>
    <t>Ku*T*D</t>
  </si>
  <si>
    <t xml:space="preserve">   +Variación  de Deuda</t>
  </si>
  <si>
    <t>Valor empresa (D+E)= (Vu+Vts)</t>
  </si>
  <si>
    <t>Flujo/tasa</t>
  </si>
  <si>
    <t xml:space="preserve">   - Deuda</t>
  </si>
  <si>
    <t xml:space="preserve">Valor de las acciones </t>
  </si>
  <si>
    <t>APV</t>
  </si>
  <si>
    <t xml:space="preserve">SUPERMERCADOS DEL NORTE  SL </t>
  </si>
  <si>
    <t xml:space="preserve">CÁLCULO MASAS PATRIMOMIALES </t>
  </si>
  <si>
    <t>OTROS ***</t>
  </si>
  <si>
    <t>INMOV</t>
  </si>
  <si>
    <t>F.PROP</t>
  </si>
  <si>
    <t>DEUDA</t>
  </si>
  <si>
    <t>Inversiones financieras a largo</t>
  </si>
  <si>
    <t>Inversiones financieras a corto</t>
  </si>
  <si>
    <t>Deudas financieras a largo</t>
  </si>
  <si>
    <t>Otros pasivos  a largo</t>
  </si>
  <si>
    <t>Pasivo  a corto</t>
  </si>
  <si>
    <t>Otros pasivos  a corto</t>
  </si>
  <si>
    <t xml:space="preserve"> ** Deben restarse de los fondos propios,  considerarlo como caja necesaria  o devolver deuda</t>
  </si>
  <si>
    <t xml:space="preserve">Coste Mercaderias </t>
  </si>
  <si>
    <t>Resultado ejecicio</t>
  </si>
  <si>
    <t>Variación  de inmovilizado bruto</t>
  </si>
  <si>
    <t xml:space="preserve">  2008 - 2012 </t>
  </si>
  <si>
    <t>Variación  NOF</t>
  </si>
  <si>
    <t xml:space="preserve">Variación deuda financiera </t>
  </si>
  <si>
    <t xml:space="preserve"> MEDIA ANUAL </t>
  </si>
  <si>
    <t>Otros</t>
  </si>
  <si>
    <t>Inmovil.</t>
  </si>
  <si>
    <t>Fondos P</t>
  </si>
  <si>
    <t xml:space="preserve">CLASIFICACION DE MASAS PATRIMONIALES EN 4 MASAS OPERATIVAS </t>
  </si>
  <si>
    <t xml:space="preserve">CALCULAR INCREMENTOS DE LAS 4 MASAS OPERATIVAS </t>
  </si>
  <si>
    <t xml:space="preserve">SUPERMERCADOS DEL NORTE </t>
  </si>
  <si>
    <t xml:space="preserve">SOL SN +CN </t>
  </si>
  <si>
    <t>Ahorro IS intereses ( Ku )</t>
  </si>
  <si>
    <t>En los últimos 4 años</t>
  </si>
  <si>
    <r>
      <t xml:space="preserve"> ( </t>
    </r>
    <r>
      <rPr>
        <sz val="12"/>
        <color indexed="8"/>
        <rFont val="Calibri"/>
        <family val="2"/>
      </rPr>
      <t>∆</t>
    </r>
    <r>
      <rPr>
        <sz val="12"/>
        <color indexed="8"/>
        <rFont val="Calibri Light"/>
        <family val="2"/>
      </rPr>
      <t xml:space="preserve"> inmovilizado neto+ amortizaciones)</t>
    </r>
  </si>
  <si>
    <t>No se condidera el descenso de Provedores</t>
  </si>
  <si>
    <t>Variación anual</t>
  </si>
  <si>
    <t>Indemnizaión a pedir por la empresa</t>
  </si>
  <si>
    <t>( la indemnización la pide la empresa, no el accionista)</t>
  </si>
  <si>
    <t>( valor que hubiera perdido el accionista si la empresa liquida)</t>
  </si>
  <si>
    <t xml:space="preserve">INVERSO PER </t>
  </si>
  <si>
    <t>Flujos</t>
  </si>
  <si>
    <t xml:space="preserve">( la equiparamos a Ke 8% de rentabilidad exigida en Bolsa más una prima de un 8% por riesgo de liquidez, y sector en cierto declive </t>
  </si>
  <si>
    <t>no existe jurisprudencia al respecto . En este sentido la única persona que incumple personalmente con</t>
  </si>
  <si>
    <t>Margen (antes causa)</t>
  </si>
  <si>
    <t>Margen (después causa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</si>
</sst>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#"/>
    <numFmt numFmtId="165" formatCode="_-* #,##0\ _€_-;\-* #,##0\ _€_-;_-* &quot;-&quot;??\ _€_-;_-@_-"/>
    <numFmt numFmtId="166" formatCode="[$-C0A]mmm\-yy;@"/>
    <numFmt numFmtId="167" formatCode="0.000"/>
    <numFmt numFmtId="168" formatCode="#,##0.00\ &quot;€&quot;"/>
    <numFmt numFmtId="169" formatCode="0.0%"/>
    <numFmt numFmtId="170" formatCode="_-* #,##0.00\ [$€-403]_-;\-* #,##0.00\ [$€-403]_-;_-* &quot;-&quot;??\ [$€-403]_-;_-@_-"/>
    <numFmt numFmtId="171" formatCode="0.000000"/>
    <numFmt numFmtId="172" formatCode="#,##0.0"/>
    <numFmt numFmtId="173" formatCode="#,##0_ ;[Red]\-#,##0\ "/>
    <numFmt numFmtId="174" formatCode="_-* #,##0.00\ [$€-C0A]_-;\-* #,##0.00\ [$€-C0A]_-;_-* &quot;-&quot;??\ [$€-C0A]_-;_-@_-"/>
    <numFmt numFmtId="175" formatCode="#,###.00"/>
    <numFmt numFmtId="176" formatCode="0.00000"/>
    <numFmt numFmtId="177" formatCode="#,##0.000"/>
    <numFmt numFmtId="178" formatCode="#,##0.0000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</font>
    <font>
      <b/>
      <sz val="12"/>
      <color indexed="8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11"/>
      <color rgb="FF000000"/>
      <name val="Cambria"/>
      <family val="2"/>
      <scheme val="major"/>
    </font>
    <font>
      <sz val="11"/>
      <color theme="0"/>
      <name val="Cambria"/>
      <family val="2"/>
      <scheme val="major"/>
    </font>
    <font>
      <b/>
      <u/>
      <sz val="11"/>
      <color theme="1"/>
      <name val="Cambria"/>
      <family val="2"/>
      <scheme val="major"/>
    </font>
    <font>
      <b/>
      <sz val="20"/>
      <name val="Calibri Light"/>
      <family val="2"/>
    </font>
    <font>
      <sz val="11"/>
      <name val="Calibri Light"/>
      <family val="2"/>
    </font>
    <font>
      <b/>
      <sz val="14"/>
      <name val="Calibri Light"/>
      <family val="2"/>
    </font>
    <font>
      <b/>
      <sz val="11"/>
      <name val="Calibri Light"/>
      <family val="2"/>
    </font>
    <font>
      <b/>
      <i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28"/>
      <color theme="1"/>
      <name val="Calibri Light"/>
      <family val="2"/>
    </font>
    <font>
      <b/>
      <sz val="18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2"/>
      <name val="Calibri Light"/>
      <family val="2"/>
    </font>
    <font>
      <i/>
      <sz val="11"/>
      <color theme="1"/>
      <name val="Calibri Light"/>
      <family val="2"/>
    </font>
    <font>
      <sz val="14"/>
      <color theme="1"/>
      <name val="Calibri Light"/>
      <family val="2"/>
    </font>
    <font>
      <sz val="9"/>
      <color theme="1"/>
      <name val="Calibri Light"/>
      <family val="2"/>
    </font>
    <font>
      <b/>
      <sz val="12"/>
      <color indexed="12"/>
      <name val="Times New Roman"/>
      <family val="1"/>
    </font>
    <font>
      <sz val="11"/>
      <color indexed="8"/>
      <name val="Calibri Light"/>
      <family val="2"/>
    </font>
    <font>
      <b/>
      <sz val="11"/>
      <color indexed="12"/>
      <name val="Calibri Light"/>
      <family val="2"/>
    </font>
    <font>
      <b/>
      <sz val="11"/>
      <color indexed="8"/>
      <name val="Calibri Light"/>
      <family val="2"/>
    </font>
    <font>
      <sz val="11"/>
      <color theme="0"/>
      <name val="Calibri Light"/>
      <family val="2"/>
    </font>
    <font>
      <sz val="12"/>
      <color rgb="FF000000"/>
      <name val="Calibri Light"/>
      <family val="2"/>
    </font>
    <font>
      <sz val="12"/>
      <color theme="0"/>
      <name val="Calibri Light"/>
      <family val="2"/>
    </font>
    <font>
      <sz val="11"/>
      <color rgb="FFFF0000"/>
      <name val="Calibri Light"/>
      <family val="2"/>
    </font>
    <font>
      <b/>
      <sz val="12"/>
      <color indexed="8"/>
      <name val="Calibri Light"/>
      <family val="2"/>
    </font>
    <font>
      <sz val="10"/>
      <color indexed="8"/>
      <name val="Calibri Light"/>
      <family val="2"/>
    </font>
    <font>
      <b/>
      <sz val="10"/>
      <color indexed="8"/>
      <name val="Calibri Light"/>
      <family val="2"/>
    </font>
    <font>
      <b/>
      <sz val="11"/>
      <color indexed="10"/>
      <name val="Calibri Light"/>
      <family val="2"/>
    </font>
    <font>
      <b/>
      <sz val="9"/>
      <name val="Calibri Light"/>
      <family val="2"/>
    </font>
    <font>
      <b/>
      <sz val="9"/>
      <color indexed="10"/>
      <name val="Calibri Light"/>
      <family val="2"/>
    </font>
    <font>
      <sz val="9"/>
      <name val="Calibri Light"/>
      <family val="2"/>
    </font>
    <font>
      <b/>
      <u/>
      <sz val="14"/>
      <color rgb="FF0070C0"/>
      <name val="Calibri Light"/>
      <family val="2"/>
    </font>
    <font>
      <b/>
      <sz val="12"/>
      <color rgb="FF0070C0"/>
      <name val="Calibri Light"/>
      <family val="2"/>
    </font>
    <font>
      <b/>
      <sz val="14"/>
      <color rgb="FF0070C0"/>
      <name val="Calibri Light"/>
      <family val="2"/>
    </font>
    <font>
      <sz val="12"/>
      <color indexed="8"/>
      <name val="Calibri Light"/>
      <family val="2"/>
    </font>
    <font>
      <b/>
      <sz val="12"/>
      <color indexed="12"/>
      <name val="Calibri Light"/>
      <family val="2"/>
    </font>
    <font>
      <b/>
      <sz val="12"/>
      <name val="Calibri Light"/>
      <family val="2"/>
    </font>
    <font>
      <b/>
      <sz val="12"/>
      <color indexed="10"/>
      <name val="Calibri Light"/>
      <family val="2"/>
    </font>
    <font>
      <b/>
      <sz val="11"/>
      <color theme="0"/>
      <name val="Calibri Light"/>
      <family val="2"/>
    </font>
    <font>
      <sz val="11"/>
      <color rgb="FF000000"/>
      <name val="Verdana"/>
      <family val="2"/>
    </font>
    <font>
      <sz val="14"/>
      <color rgb="FF0070C0"/>
      <name val="Calibri Light"/>
      <family val="2"/>
    </font>
    <font>
      <sz val="12"/>
      <color rgb="FFFF0000"/>
      <name val="Calibri Light"/>
      <family val="2"/>
    </font>
    <font>
      <i/>
      <sz val="12"/>
      <name val="Calibri Light"/>
      <family val="2"/>
    </font>
    <font>
      <b/>
      <sz val="16"/>
      <name val="Calibri Light"/>
      <family val="2"/>
    </font>
    <font>
      <b/>
      <i/>
      <sz val="12"/>
      <name val="Calibri Light"/>
      <family val="2"/>
    </font>
    <font>
      <i/>
      <sz val="12"/>
      <color theme="1"/>
      <name val="Calibri Light"/>
      <family val="2"/>
    </font>
    <font>
      <b/>
      <sz val="12"/>
      <color rgb="FF0000FF"/>
      <name val="Calibri Light"/>
      <family val="2"/>
    </font>
    <font>
      <sz val="12"/>
      <color theme="3" tint="0.39997558519241921"/>
      <name val="Calibri Light"/>
      <family val="2"/>
    </font>
    <font>
      <sz val="12"/>
      <color indexed="8"/>
      <name val="Calibri"/>
      <family val="2"/>
    </font>
    <font>
      <b/>
      <i/>
      <sz val="12"/>
      <color theme="0"/>
      <name val="Calibri Light"/>
      <family val="2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5" borderId="12">
      <alignment horizontal="left" wrapText="1"/>
    </xf>
    <xf numFmtId="14" fontId="6" fillId="4" borderId="14">
      <alignment horizontal="center" vertical="center" wrapText="1"/>
    </xf>
    <xf numFmtId="4" fontId="7" fillId="0" borderId="0" applyBorder="0"/>
    <xf numFmtId="44" fontId="1" fillId="0" borderId="0" applyFont="0" applyFill="0" applyBorder="0" applyAlignment="0" applyProtection="0"/>
  </cellStyleXfs>
  <cellXfs count="1465">
    <xf numFmtId="0" fontId="0" fillId="0" borderId="0" xfId="0"/>
    <xf numFmtId="0" fontId="3" fillId="0" borderId="4" xfId="0" applyFont="1" applyBorder="1"/>
    <xf numFmtId="0" fontId="3" fillId="0" borderId="0" xfId="0" applyFont="1" applyBorder="1"/>
    <xf numFmtId="0" fontId="2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4" fillId="0" borderId="0" xfId="0" applyFont="1"/>
    <xf numFmtId="0" fontId="13" fillId="0" borderId="0" xfId="0" applyFont="1" applyAlignment="1">
      <alignment horizontal="left"/>
    </xf>
    <xf numFmtId="10" fontId="13" fillId="0" borderId="0" xfId="0" applyNumberFormat="1" applyFont="1"/>
    <xf numFmtId="0" fontId="13" fillId="0" borderId="0" xfId="0" applyFont="1" applyAlignment="1">
      <alignment horizontal="right"/>
    </xf>
    <xf numFmtId="10" fontId="13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8" xfId="0" applyFont="1" applyBorder="1" applyAlignment="1">
      <alignment horizontal="right"/>
    </xf>
    <xf numFmtId="0" fontId="13" fillId="0" borderId="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32" xfId="0" applyFont="1" applyBorder="1" applyAlignment="1">
      <alignment horizontal="right"/>
    </xf>
    <xf numFmtId="0" fontId="13" fillId="0" borderId="33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2" borderId="4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32" xfId="0" applyFont="1" applyFill="1" applyBorder="1" applyAlignment="1">
      <alignment horizontal="right"/>
    </xf>
    <xf numFmtId="0" fontId="13" fillId="2" borderId="33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10" fontId="12" fillId="4" borderId="34" xfId="0" applyNumberFormat="1" applyFont="1" applyFill="1" applyBorder="1" applyAlignment="1">
      <alignment horizontal="left"/>
    </xf>
    <xf numFmtId="10" fontId="12" fillId="4" borderId="35" xfId="0" applyNumberFormat="1" applyFont="1" applyFill="1" applyBorder="1" applyAlignment="1">
      <alignment horizontal="left"/>
    </xf>
    <xf numFmtId="4" fontId="12" fillId="4" borderId="36" xfId="0" applyNumberFormat="1" applyFont="1" applyFill="1" applyBorder="1" applyAlignment="1">
      <alignment horizontal="right"/>
    </xf>
    <xf numFmtId="10" fontId="12" fillId="7" borderId="37" xfId="0" applyNumberFormat="1" applyFont="1" applyFill="1" applyBorder="1" applyAlignment="1">
      <alignment horizontal="left"/>
    </xf>
    <xf numFmtId="10" fontId="12" fillId="7" borderId="32" xfId="0" applyNumberFormat="1" applyFont="1" applyFill="1" applyBorder="1" applyAlignment="1">
      <alignment horizontal="left"/>
    </xf>
    <xf numFmtId="4" fontId="12" fillId="7" borderId="32" xfId="0" applyNumberFormat="1" applyFont="1" applyFill="1" applyBorder="1"/>
    <xf numFmtId="10" fontId="12" fillId="0" borderId="37" xfId="0" applyNumberFormat="1" applyFont="1" applyBorder="1" applyAlignment="1">
      <alignment horizontal="left"/>
    </xf>
    <xf numFmtId="10" fontId="12" fillId="0" borderId="32" xfId="0" applyNumberFormat="1" applyFont="1" applyBorder="1" applyAlignment="1">
      <alignment horizontal="left"/>
    </xf>
    <xf numFmtId="4" fontId="12" fillId="0" borderId="32" xfId="0" applyNumberFormat="1" applyFont="1" applyBorder="1" applyAlignment="1">
      <alignment horizontal="right"/>
    </xf>
    <xf numFmtId="10" fontId="12" fillId="4" borderId="37" xfId="0" applyNumberFormat="1" applyFont="1" applyFill="1" applyBorder="1" applyAlignment="1">
      <alignment horizontal="left"/>
    </xf>
    <xf numFmtId="10" fontId="12" fillId="4" borderId="32" xfId="0" applyNumberFormat="1" applyFont="1" applyFill="1" applyBorder="1" applyAlignment="1">
      <alignment horizontal="left"/>
    </xf>
    <xf numFmtId="4" fontId="12" fillId="4" borderId="32" xfId="0" applyNumberFormat="1" applyFont="1" applyFill="1" applyBorder="1" applyAlignment="1">
      <alignment horizontal="right"/>
    </xf>
    <xf numFmtId="10" fontId="14" fillId="5" borderId="38" xfId="0" applyNumberFormat="1" applyFont="1" applyFill="1" applyBorder="1" applyAlignment="1">
      <alignment horizontal="left"/>
    </xf>
    <xf numFmtId="10" fontId="14" fillId="5" borderId="39" xfId="0" applyNumberFormat="1" applyFont="1" applyFill="1" applyBorder="1" applyAlignment="1">
      <alignment horizontal="left"/>
    </xf>
    <xf numFmtId="4" fontId="14" fillId="5" borderId="39" xfId="0" applyNumberFormat="1" applyFont="1" applyFill="1" applyBorder="1" applyAlignment="1">
      <alignment horizontal="right"/>
    </xf>
    <xf numFmtId="10" fontId="13" fillId="0" borderId="4" xfId="0" applyNumberFormat="1" applyFont="1" applyBorder="1" applyAlignment="1">
      <alignment horizontal="left"/>
    </xf>
    <xf numFmtId="10" fontId="13" fillId="0" borderId="0" xfId="0" applyNumberFormat="1" applyFont="1" applyBorder="1" applyAlignment="1">
      <alignment horizontal="left"/>
    </xf>
    <xf numFmtId="4" fontId="13" fillId="0" borderId="0" xfId="0" applyNumberFormat="1" applyFont="1" applyBorder="1" applyAlignment="1">
      <alignment horizontal="right"/>
    </xf>
    <xf numFmtId="0" fontId="4" fillId="0" borderId="0" xfId="0" applyFont="1" applyBorder="1"/>
    <xf numFmtId="10" fontId="12" fillId="0" borderId="34" xfId="0" applyNumberFormat="1" applyFont="1" applyBorder="1" applyAlignment="1">
      <alignment horizontal="left"/>
    </xf>
    <xf numFmtId="10" fontId="12" fillId="0" borderId="35" xfId="0" applyNumberFormat="1" applyFont="1" applyBorder="1" applyAlignment="1">
      <alignment horizontal="left"/>
    </xf>
    <xf numFmtId="4" fontId="12" fillId="0" borderId="36" xfId="0" applyNumberFormat="1" applyFont="1" applyBorder="1" applyAlignment="1">
      <alignment horizontal="right"/>
    </xf>
    <xf numFmtId="0" fontId="4" fillId="0" borderId="36" xfId="0" applyFont="1" applyBorder="1"/>
    <xf numFmtId="0" fontId="4" fillId="0" borderId="40" xfId="0" applyFont="1" applyBorder="1"/>
    <xf numFmtId="10" fontId="12" fillId="0" borderId="4" xfId="0" applyNumberFormat="1" applyFont="1" applyBorder="1" applyAlignment="1">
      <alignment horizontal="left"/>
    </xf>
    <xf numFmtId="10" fontId="12" fillId="0" borderId="17" xfId="0" applyNumberFormat="1" applyFont="1" applyBorder="1" applyAlignment="1">
      <alignment horizontal="left"/>
    </xf>
    <xf numFmtId="4" fontId="12" fillId="0" borderId="32" xfId="0" applyNumberFormat="1" applyFont="1" applyBorder="1"/>
    <xf numFmtId="10" fontId="14" fillId="5" borderId="7" xfId="0" applyNumberFormat="1" applyFont="1" applyFill="1" applyBorder="1" applyAlignment="1">
      <alignment horizontal="left"/>
    </xf>
    <xf numFmtId="10" fontId="14" fillId="5" borderId="41" xfId="0" applyNumberFormat="1" applyFont="1" applyFill="1" applyBorder="1" applyAlignment="1">
      <alignment horizontal="left"/>
    </xf>
    <xf numFmtId="4" fontId="14" fillId="5" borderId="42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10" fontId="13" fillId="0" borderId="1" xfId="0" applyNumberFormat="1" applyFont="1" applyBorder="1" applyAlignment="1">
      <alignment horizontal="left"/>
    </xf>
    <xf numFmtId="10" fontId="13" fillId="0" borderId="2" xfId="0" applyNumberFormat="1" applyFont="1" applyBorder="1" applyAlignment="1">
      <alignment horizontal="left"/>
    </xf>
    <xf numFmtId="0" fontId="13" fillId="0" borderId="2" xfId="0" applyFont="1" applyBorder="1" applyAlignment="1">
      <alignment horizontal="right"/>
    </xf>
    <xf numFmtId="0" fontId="4" fillId="0" borderId="2" xfId="0" applyFont="1" applyBorder="1"/>
    <xf numFmtId="0" fontId="2" fillId="0" borderId="24" xfId="0" applyFont="1" applyBorder="1"/>
    <xf numFmtId="0" fontId="2" fillId="0" borderId="20" xfId="0" applyFont="1" applyBorder="1"/>
    <xf numFmtId="0" fontId="12" fillId="0" borderId="4" xfId="0" applyFont="1" applyBorder="1"/>
    <xf numFmtId="0" fontId="12" fillId="0" borderId="0" xfId="0" applyFont="1" applyBorder="1"/>
    <xf numFmtId="0" fontId="13" fillId="0" borderId="17" xfId="0" applyFont="1" applyBorder="1" applyAlignment="1">
      <alignment horizontal="right"/>
    </xf>
    <xf numFmtId="2" fontId="12" fillId="0" borderId="32" xfId="0" applyNumberFormat="1" applyFont="1" applyBorder="1" applyAlignment="1">
      <alignment horizontal="right"/>
    </xf>
    <xf numFmtId="4" fontId="12" fillId="0" borderId="0" xfId="0" applyNumberFormat="1" applyFont="1" applyBorder="1"/>
    <xf numFmtId="4" fontId="12" fillId="7" borderId="36" xfId="0" applyNumberFormat="1" applyFont="1" applyFill="1" applyBorder="1" applyAlignment="1">
      <alignment horizontal="right"/>
    </xf>
    <xf numFmtId="10" fontId="12" fillId="0" borderId="0" xfId="0" applyNumberFormat="1" applyFont="1" applyBorder="1" applyAlignment="1">
      <alignment horizontal="left"/>
    </xf>
    <xf numFmtId="4" fontId="12" fillId="0" borderId="17" xfId="0" applyNumberFormat="1" applyFont="1" applyBorder="1" applyAlignment="1">
      <alignment horizontal="right"/>
    </xf>
    <xf numFmtId="0" fontId="12" fillId="4" borderId="4" xfId="0" applyFont="1" applyFill="1" applyBorder="1"/>
    <xf numFmtId="0" fontId="12" fillId="4" borderId="0" xfId="0" applyFont="1" applyFill="1" applyBorder="1"/>
    <xf numFmtId="4" fontId="12" fillId="4" borderId="17" xfId="0" applyNumberFormat="1" applyFont="1" applyFill="1" applyBorder="1"/>
    <xf numFmtId="4" fontId="12" fillId="4" borderId="32" xfId="0" applyNumberFormat="1" applyFont="1" applyFill="1" applyBorder="1"/>
    <xf numFmtId="4" fontId="12" fillId="0" borderId="17" xfId="0" applyNumberFormat="1" applyFont="1" applyBorder="1"/>
    <xf numFmtId="0" fontId="12" fillId="0" borderId="43" xfId="0" applyFont="1" applyBorder="1"/>
    <xf numFmtId="0" fontId="12" fillId="0" borderId="14" xfId="0" applyFont="1" applyBorder="1"/>
    <xf numFmtId="4" fontId="12" fillId="0" borderId="44" xfId="0" applyNumberFormat="1" applyFont="1" applyBorder="1"/>
    <xf numFmtId="4" fontId="12" fillId="0" borderId="39" xfId="0" applyNumberFormat="1" applyFont="1" applyBorder="1"/>
    <xf numFmtId="0" fontId="14" fillId="5" borderId="4" xfId="0" applyFont="1" applyFill="1" applyBorder="1"/>
    <xf numFmtId="0" fontId="14" fillId="5" borderId="0" xfId="0" applyFont="1" applyFill="1" applyBorder="1"/>
    <xf numFmtId="4" fontId="14" fillId="5" borderId="17" xfId="0" applyNumberFormat="1" applyFont="1" applyFill="1" applyBorder="1"/>
    <xf numFmtId="4" fontId="14" fillId="5" borderId="32" xfId="0" applyNumberFormat="1" applyFont="1" applyFill="1" applyBorder="1"/>
    <xf numFmtId="2" fontId="14" fillId="5" borderId="32" xfId="0" applyNumberFormat="1" applyFont="1" applyFill="1" applyBorder="1"/>
    <xf numFmtId="0" fontId="12" fillId="8" borderId="0" xfId="0" applyFont="1" applyFill="1" applyBorder="1"/>
    <xf numFmtId="9" fontId="12" fillId="8" borderId="0" xfId="0" applyNumberFormat="1" applyFont="1" applyFill="1" applyBorder="1"/>
    <xf numFmtId="9" fontId="12" fillId="8" borderId="0" xfId="2" applyFont="1" applyFill="1" applyBorder="1"/>
    <xf numFmtId="0" fontId="15" fillId="8" borderId="0" xfId="0" applyFont="1" applyFill="1" applyBorder="1"/>
    <xf numFmtId="4" fontId="12" fillId="8" borderId="0" xfId="0" applyNumberFormat="1" applyFont="1" applyFill="1" applyBorder="1"/>
    <xf numFmtId="0" fontId="15" fillId="7" borderId="0" xfId="0" applyFont="1" applyFill="1" applyBorder="1"/>
    <xf numFmtId="0" fontId="12" fillId="7" borderId="0" xfId="0" applyFont="1" applyFill="1" applyBorder="1"/>
    <xf numFmtId="4" fontId="12" fillId="7" borderId="0" xfId="0" applyNumberFormat="1" applyFont="1" applyFill="1" applyBorder="1"/>
    <xf numFmtId="10" fontId="12" fillId="7" borderId="0" xfId="2" applyNumberFormat="1" applyFont="1" applyFill="1" applyBorder="1"/>
    <xf numFmtId="167" fontId="2" fillId="0" borderId="0" xfId="0" applyNumberFormat="1" applyFont="1"/>
    <xf numFmtId="10" fontId="12" fillId="7" borderId="0" xfId="0" applyNumberFormat="1" applyFont="1" applyFill="1" applyBorder="1"/>
    <xf numFmtId="4" fontId="12" fillId="7" borderId="0" xfId="2" applyNumberFormat="1" applyFont="1" applyFill="1" applyBorder="1"/>
    <xf numFmtId="9" fontId="12" fillId="7" borderId="0" xfId="2" applyFont="1" applyFill="1" applyBorder="1"/>
    <xf numFmtId="0" fontId="3" fillId="0" borderId="1" xfId="0" applyFont="1" applyBorder="1"/>
    <xf numFmtId="0" fontId="3" fillId="0" borderId="2" xfId="0" applyFont="1" applyBorder="1"/>
    <xf numFmtId="0" fontId="13" fillId="0" borderId="45" xfId="0" applyFont="1" applyBorder="1" applyAlignment="1">
      <alignment horizontal="right"/>
    </xf>
    <xf numFmtId="0" fontId="4" fillId="0" borderId="4" xfId="0" applyFont="1" applyBorder="1"/>
    <xf numFmtId="4" fontId="4" fillId="0" borderId="0" xfId="0" applyNumberFormat="1" applyFont="1" applyBorder="1"/>
    <xf numFmtId="0" fontId="16" fillId="12" borderId="4" xfId="0" applyFont="1" applyFill="1" applyBorder="1"/>
    <xf numFmtId="0" fontId="4" fillId="12" borderId="0" xfId="0" applyFont="1" applyFill="1" applyBorder="1"/>
    <xf numFmtId="4" fontId="4" fillId="12" borderId="0" xfId="0" applyNumberFormat="1" applyFont="1" applyFill="1" applyBorder="1"/>
    <xf numFmtId="0" fontId="3" fillId="12" borderId="10" xfId="0" applyFont="1" applyFill="1" applyBorder="1"/>
    <xf numFmtId="0" fontId="3" fillId="12" borderId="13" xfId="0" applyFont="1" applyFill="1" applyBorder="1"/>
    <xf numFmtId="4" fontId="4" fillId="12" borderId="13" xfId="0" applyNumberFormat="1" applyFont="1" applyFill="1" applyBorder="1"/>
    <xf numFmtId="0" fontId="14" fillId="12" borderId="0" xfId="0" applyFont="1" applyFill="1" applyBorder="1"/>
    <xf numFmtId="0" fontId="4" fillId="12" borderId="0" xfId="0" applyFont="1" applyFill="1"/>
    <xf numFmtId="4" fontId="4" fillId="12" borderId="0" xfId="0" applyNumberFormat="1" applyFont="1" applyFill="1"/>
    <xf numFmtId="0" fontId="14" fillId="12" borderId="10" xfId="0" applyFont="1" applyFill="1" applyBorder="1"/>
    <xf numFmtId="0" fontId="12" fillId="12" borderId="13" xfId="0" applyFont="1" applyFill="1" applyBorder="1"/>
    <xf numFmtId="0" fontId="4" fillId="12" borderId="13" xfId="0" applyFont="1" applyFill="1" applyBorder="1"/>
    <xf numFmtId="4" fontId="12" fillId="0" borderId="0" xfId="0" applyNumberFormat="1" applyFont="1"/>
    <xf numFmtId="4" fontId="4" fillId="12" borderId="11" xfId="0" applyNumberFormat="1" applyFont="1" applyFill="1" applyBorder="1"/>
    <xf numFmtId="0" fontId="14" fillId="7" borderId="0" xfId="0" applyFont="1" applyFill="1" applyBorder="1"/>
    <xf numFmtId="2" fontId="4" fillId="7" borderId="0" xfId="0" applyNumberFormat="1" applyFont="1" applyFill="1"/>
    <xf numFmtId="10" fontId="4" fillId="7" borderId="0" xfId="0" applyNumberFormat="1" applyFont="1" applyFill="1"/>
    <xf numFmtId="171" fontId="4" fillId="7" borderId="0" xfId="0" applyNumberFormat="1" applyFont="1" applyFill="1"/>
    <xf numFmtId="0" fontId="14" fillId="0" borderId="0" xfId="0" applyFont="1"/>
    <xf numFmtId="4" fontId="4" fillId="7" borderId="0" xfId="0" applyNumberFormat="1" applyFont="1" applyFill="1"/>
    <xf numFmtId="0" fontId="16" fillId="0" borderId="10" xfId="0" applyFont="1" applyBorder="1"/>
    <xf numFmtId="4" fontId="4" fillId="0" borderId="11" xfId="0" applyNumberFormat="1" applyFont="1" applyBorder="1"/>
    <xf numFmtId="0" fontId="14" fillId="14" borderId="0" xfId="0" applyFont="1" applyFill="1" applyBorder="1"/>
    <xf numFmtId="0" fontId="14" fillId="14" borderId="10" xfId="0" applyFont="1" applyFill="1" applyBorder="1"/>
    <xf numFmtId="4" fontId="4" fillId="14" borderId="11" xfId="0" applyNumberFormat="1" applyFont="1" applyFill="1" applyBorder="1"/>
    <xf numFmtId="0" fontId="4" fillId="0" borderId="10" xfId="0" applyFont="1" applyBorder="1"/>
    <xf numFmtId="0" fontId="4" fillId="7" borderId="0" xfId="0" applyFont="1" applyFill="1"/>
    <xf numFmtId="170" fontId="4" fillId="0" borderId="0" xfId="0" applyNumberFormat="1" applyFont="1"/>
    <xf numFmtId="0" fontId="4" fillId="0" borderId="13" xfId="0" applyFont="1" applyBorder="1"/>
    <xf numFmtId="0" fontId="14" fillId="14" borderId="13" xfId="0" applyFont="1" applyFill="1" applyBorder="1"/>
    <xf numFmtId="0" fontId="8" fillId="0" borderId="0" xfId="0" applyFont="1" applyAlignment="1"/>
    <xf numFmtId="0" fontId="10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21" fillId="7" borderId="0" xfId="0" applyFont="1" applyFill="1" applyAlignment="1"/>
    <xf numFmtId="0" fontId="18" fillId="7" borderId="0" xfId="0" applyFont="1" applyFill="1"/>
    <xf numFmtId="3" fontId="18" fillId="7" borderId="0" xfId="0" applyNumberFormat="1" applyFont="1" applyFill="1"/>
    <xf numFmtId="0" fontId="18" fillId="7" borderId="0" xfId="0" applyFont="1" applyFill="1" applyAlignment="1">
      <alignment horizontal="center"/>
    </xf>
    <xf numFmtId="14" fontId="18" fillId="7" borderId="0" xfId="0" applyNumberFormat="1" applyFont="1" applyFill="1"/>
    <xf numFmtId="10" fontId="18" fillId="7" borderId="0" xfId="0" applyNumberFormat="1" applyFont="1" applyFill="1"/>
    <xf numFmtId="10" fontId="18" fillId="7" borderId="0" xfId="2" applyNumberFormat="1" applyFont="1" applyFill="1"/>
    <xf numFmtId="0" fontId="18" fillId="7" borderId="0" xfId="0" applyFont="1" applyFill="1" applyAlignment="1"/>
    <xf numFmtId="10" fontId="18" fillId="7" borderId="0" xfId="0" applyNumberFormat="1" applyFont="1" applyFill="1" applyAlignment="1">
      <alignment horizontal="center"/>
    </xf>
    <xf numFmtId="0" fontId="20" fillId="19" borderId="0" xfId="0" applyFont="1" applyFill="1" applyAlignment="1"/>
    <xf numFmtId="0" fontId="20" fillId="19" borderId="0" xfId="0" applyFont="1" applyFill="1"/>
    <xf numFmtId="3" fontId="20" fillId="19" borderId="0" xfId="0" applyNumberFormat="1" applyFont="1" applyFill="1"/>
    <xf numFmtId="10" fontId="20" fillId="19" borderId="0" xfId="2" applyNumberFormat="1" applyFont="1" applyFill="1"/>
    <xf numFmtId="10" fontId="20" fillId="19" borderId="0" xfId="0" applyNumberFormat="1" applyFont="1" applyFill="1"/>
    <xf numFmtId="4" fontId="19" fillId="18" borderId="51" xfId="0" applyNumberFormat="1" applyFont="1" applyFill="1" applyBorder="1" applyAlignment="1">
      <alignment vertical="center" wrapText="1"/>
    </xf>
    <xf numFmtId="4" fontId="19" fillId="18" borderId="51" xfId="0" applyNumberFormat="1" applyFont="1" applyFill="1" applyBorder="1" applyAlignment="1">
      <alignment horizontal="center" vertical="center" wrapText="1"/>
    </xf>
    <xf numFmtId="4" fontId="19" fillId="7" borderId="51" xfId="0" applyNumberFormat="1" applyFont="1" applyFill="1" applyBorder="1" applyAlignment="1">
      <alignment vertical="center" wrapText="1"/>
    </xf>
    <xf numFmtId="3" fontId="19" fillId="7" borderId="51" xfId="0" applyNumberFormat="1" applyFont="1" applyFill="1" applyBorder="1" applyAlignment="1">
      <alignment horizontal="right" vertical="center" wrapText="1"/>
    </xf>
    <xf numFmtId="10" fontId="19" fillId="7" borderId="51" xfId="2" applyNumberFormat="1" applyFont="1" applyFill="1" applyBorder="1" applyAlignment="1">
      <alignment horizontal="right" vertical="center" wrapText="1"/>
    </xf>
    <xf numFmtId="3" fontId="19" fillId="7" borderId="52" xfId="0" applyNumberFormat="1" applyFont="1" applyFill="1" applyBorder="1" applyAlignment="1">
      <alignment horizontal="right" vertical="center" wrapText="1"/>
    </xf>
    <xf numFmtId="10" fontId="19" fillId="7" borderId="52" xfId="2" applyNumberFormat="1" applyFont="1" applyFill="1" applyBorder="1" applyAlignment="1">
      <alignment horizontal="right" vertical="center" wrapText="1"/>
    </xf>
    <xf numFmtId="4" fontId="19" fillId="7" borderId="53" xfId="0" applyNumberFormat="1" applyFont="1" applyFill="1" applyBorder="1" applyAlignment="1">
      <alignment vertical="center" wrapText="1"/>
    </xf>
    <xf numFmtId="3" fontId="18" fillId="7" borderId="18" xfId="0" applyNumberFormat="1" applyFont="1" applyFill="1" applyBorder="1"/>
    <xf numFmtId="10" fontId="19" fillId="7" borderId="18" xfId="2" applyNumberFormat="1" applyFont="1" applyFill="1" applyBorder="1" applyAlignment="1">
      <alignment horizontal="right" vertical="center" wrapText="1"/>
    </xf>
    <xf numFmtId="49" fontId="19" fillId="7" borderId="52" xfId="0" applyNumberFormat="1" applyFont="1" applyFill="1" applyBorder="1" applyAlignment="1">
      <alignment vertical="center" wrapText="1"/>
    </xf>
    <xf numFmtId="3" fontId="19" fillId="7" borderId="54" xfId="0" applyNumberFormat="1" applyFont="1" applyFill="1" applyBorder="1" applyAlignment="1">
      <alignment horizontal="right" vertical="center" wrapText="1"/>
    </xf>
    <xf numFmtId="0" fontId="18" fillId="18" borderId="18" xfId="0" applyFont="1" applyFill="1" applyBorder="1" applyAlignment="1"/>
    <xf numFmtId="3" fontId="18" fillId="18" borderId="18" xfId="0" applyNumberFormat="1" applyFont="1" applyFill="1" applyBorder="1"/>
    <xf numFmtId="3" fontId="18" fillId="18" borderId="21" xfId="0" applyNumberFormat="1" applyFont="1" applyFill="1" applyBorder="1"/>
    <xf numFmtId="10" fontId="19" fillId="18" borderId="18" xfId="2" applyNumberFormat="1" applyFont="1" applyFill="1" applyBorder="1" applyAlignment="1">
      <alignment horizontal="right" vertical="center" wrapText="1"/>
    </xf>
    <xf numFmtId="0" fontId="18" fillId="7" borderId="1" xfId="0" applyFont="1" applyFill="1" applyBorder="1" applyAlignment="1"/>
    <xf numFmtId="0" fontId="18" fillId="7" borderId="2" xfId="0" applyFont="1" applyFill="1" applyBorder="1"/>
    <xf numFmtId="10" fontId="18" fillId="7" borderId="3" xfId="0" applyNumberFormat="1" applyFont="1" applyFill="1" applyBorder="1"/>
    <xf numFmtId="0" fontId="18" fillId="7" borderId="4" xfId="0" applyFont="1" applyFill="1" applyBorder="1" applyAlignment="1"/>
    <xf numFmtId="0" fontId="18" fillId="7" borderId="0" xfId="0" applyFont="1" applyFill="1" applyBorder="1"/>
    <xf numFmtId="10" fontId="18" fillId="7" borderId="5" xfId="0" applyNumberFormat="1" applyFont="1" applyFill="1" applyBorder="1"/>
    <xf numFmtId="10" fontId="18" fillId="7" borderId="5" xfId="2" applyNumberFormat="1" applyFont="1" applyFill="1" applyBorder="1"/>
    <xf numFmtId="0" fontId="18" fillId="7" borderId="7" xfId="0" applyFont="1" applyFill="1" applyBorder="1" applyAlignment="1"/>
    <xf numFmtId="0" fontId="18" fillId="7" borderId="8" xfId="0" applyFont="1" applyFill="1" applyBorder="1"/>
    <xf numFmtId="10" fontId="18" fillId="7" borderId="9" xfId="0" applyNumberFormat="1" applyFont="1" applyFill="1" applyBorder="1"/>
    <xf numFmtId="4" fontId="22" fillId="0" borderId="0" xfId="0" applyNumberFormat="1" applyFont="1" applyAlignment="1">
      <alignment wrapText="1"/>
    </xf>
    <xf numFmtId="4" fontId="23" fillId="0" borderId="0" xfId="0" applyNumberFormat="1" applyFont="1"/>
    <xf numFmtId="0" fontId="23" fillId="0" borderId="0" xfId="0" applyFont="1"/>
    <xf numFmtId="4" fontId="24" fillId="0" borderId="0" xfId="0" applyNumberFormat="1" applyFont="1" applyAlignment="1"/>
    <xf numFmtId="4" fontId="23" fillId="0" borderId="0" xfId="0" applyNumberFormat="1" applyFont="1" applyAlignment="1">
      <alignment horizontal="center" textRotation="90"/>
    </xf>
    <xf numFmtId="168" fontId="23" fillId="0" borderId="3" xfId="0" applyNumberFormat="1" applyFont="1" applyBorder="1" applyAlignment="1">
      <alignment wrapText="1"/>
    </xf>
    <xf numFmtId="168" fontId="25" fillId="0" borderId="12" xfId="0" applyNumberFormat="1" applyFont="1" applyBorder="1" applyAlignment="1">
      <alignment wrapText="1"/>
    </xf>
    <xf numFmtId="168" fontId="23" fillId="0" borderId="7" xfId="0" applyNumberFormat="1" applyFont="1" applyBorder="1" applyAlignment="1">
      <alignment wrapText="1"/>
    </xf>
    <xf numFmtId="168" fontId="23" fillId="0" borderId="9" xfId="0" applyNumberFormat="1" applyFont="1" applyBorder="1" applyAlignment="1">
      <alignment wrapText="1"/>
    </xf>
    <xf numFmtId="168" fontId="25" fillId="0" borderId="23" xfId="0" applyNumberFormat="1" applyFont="1" applyBorder="1" applyAlignment="1">
      <alignment wrapText="1"/>
    </xf>
    <xf numFmtId="4" fontId="23" fillId="0" borderId="0" xfId="0" applyNumberFormat="1" applyFont="1" applyAlignment="1">
      <alignment wrapText="1"/>
    </xf>
    <xf numFmtId="168" fontId="23" fillId="0" borderId="10" xfId="0" applyNumberFormat="1" applyFont="1" applyBorder="1" applyAlignment="1">
      <alignment wrapText="1"/>
    </xf>
    <xf numFmtId="168" fontId="23" fillId="0" borderId="11" xfId="0" applyNumberFormat="1" applyFont="1" applyBorder="1" applyAlignment="1">
      <alignment wrapText="1"/>
    </xf>
    <xf numFmtId="168" fontId="25" fillId="0" borderId="6" xfId="0" applyNumberFormat="1" applyFont="1" applyBorder="1" applyAlignment="1">
      <alignment wrapText="1"/>
    </xf>
    <xf numFmtId="168" fontId="23" fillId="0" borderId="1" xfId="0" applyNumberFormat="1" applyFont="1" applyBorder="1" applyAlignment="1">
      <alignment wrapText="1"/>
    </xf>
    <xf numFmtId="168" fontId="25" fillId="4" borderId="4" xfId="0" applyNumberFormat="1" applyFont="1" applyFill="1" applyBorder="1" applyAlignment="1">
      <alignment wrapText="1"/>
    </xf>
    <xf numFmtId="168" fontId="23" fillId="4" borderId="5" xfId="0" applyNumberFormat="1" applyFont="1" applyFill="1" applyBorder="1" applyAlignment="1">
      <alignment wrapText="1"/>
    </xf>
    <xf numFmtId="168" fontId="25" fillId="4" borderId="22" xfId="0" applyNumberFormat="1" applyFont="1" applyFill="1" applyBorder="1" applyAlignment="1">
      <alignment wrapText="1"/>
    </xf>
    <xf numFmtId="168" fontId="25" fillId="4" borderId="1" xfId="0" applyNumberFormat="1" applyFont="1" applyFill="1" applyBorder="1" applyAlignment="1">
      <alignment wrapText="1"/>
    </xf>
    <xf numFmtId="168" fontId="23" fillId="4" borderId="3" xfId="0" applyNumberFormat="1" applyFont="1" applyFill="1" applyBorder="1" applyAlignment="1">
      <alignment wrapText="1"/>
    </xf>
    <xf numFmtId="168" fontId="25" fillId="4" borderId="12" xfId="0" applyNumberFormat="1" applyFont="1" applyFill="1" applyBorder="1" applyAlignment="1">
      <alignment wrapText="1"/>
    </xf>
    <xf numFmtId="168" fontId="26" fillId="2" borderId="10" xfId="0" applyNumberFormat="1" applyFont="1" applyFill="1" applyBorder="1" applyAlignment="1">
      <alignment wrapText="1"/>
    </xf>
    <xf numFmtId="168" fontId="26" fillId="2" borderId="13" xfId="0" applyNumberFormat="1" applyFont="1" applyFill="1" applyBorder="1" applyAlignment="1">
      <alignment wrapText="1"/>
    </xf>
    <xf numFmtId="168" fontId="26" fillId="2" borderId="6" xfId="0" applyNumberFormat="1" applyFont="1" applyFill="1" applyBorder="1" applyAlignment="1">
      <alignment wrapText="1"/>
    </xf>
    <xf numFmtId="0" fontId="27" fillId="0" borderId="0" xfId="0" applyFont="1"/>
    <xf numFmtId="0" fontId="27" fillId="0" borderId="1" xfId="0" applyFont="1" applyBorder="1"/>
    <xf numFmtId="0" fontId="27" fillId="0" borderId="2" xfId="0" applyFont="1" applyBorder="1"/>
    <xf numFmtId="0" fontId="27" fillId="0" borderId="3" xfId="0" applyFont="1" applyBorder="1"/>
    <xf numFmtId="0" fontId="28" fillId="0" borderId="4" xfId="0" applyFont="1" applyBorder="1"/>
    <xf numFmtId="0" fontId="27" fillId="0" borderId="0" xfId="0" applyFont="1" applyBorder="1"/>
    <xf numFmtId="0" fontId="28" fillId="6" borderId="0" xfId="0" applyFont="1" applyFill="1" applyBorder="1"/>
    <xf numFmtId="0" fontId="28" fillId="0" borderId="0" xfId="0" applyFont="1" applyBorder="1"/>
    <xf numFmtId="0" fontId="28" fillId="0" borderId="5" xfId="0" applyFont="1" applyBorder="1" applyAlignment="1">
      <alignment horizontal="right"/>
    </xf>
    <xf numFmtId="0" fontId="27" fillId="0" borderId="4" xfId="0" applyFont="1" applyBorder="1"/>
    <xf numFmtId="3" fontId="27" fillId="6" borderId="0" xfId="0" applyNumberFormat="1" applyFont="1" applyFill="1" applyBorder="1"/>
    <xf numFmtId="3" fontId="27" fillId="0" borderId="0" xfId="0" applyNumberFormat="1" applyFont="1" applyBorder="1"/>
    <xf numFmtId="3" fontId="27" fillId="0" borderId="5" xfId="0" applyNumberFormat="1" applyFont="1" applyBorder="1"/>
    <xf numFmtId="4" fontId="27" fillId="6" borderId="0" xfId="0" applyNumberFormat="1" applyFont="1" applyFill="1" applyBorder="1"/>
    <xf numFmtId="4" fontId="27" fillId="0" borderId="0" xfId="0" applyNumberFormat="1" applyFont="1" applyBorder="1"/>
    <xf numFmtId="4" fontId="27" fillId="0" borderId="5" xfId="0" applyNumberFormat="1" applyFont="1" applyBorder="1"/>
    <xf numFmtId="4" fontId="27" fillId="6" borderId="2" xfId="0" applyNumberFormat="1" applyFont="1" applyFill="1" applyBorder="1"/>
    <xf numFmtId="4" fontId="27" fillId="0" borderId="2" xfId="0" applyNumberFormat="1" applyFont="1" applyBorder="1"/>
    <xf numFmtId="4" fontId="27" fillId="0" borderId="3" xfId="0" applyNumberFormat="1" applyFont="1" applyBorder="1"/>
    <xf numFmtId="0" fontId="27" fillId="0" borderId="7" xfId="0" applyFont="1" applyBorder="1"/>
    <xf numFmtId="0" fontId="27" fillId="0" borderId="8" xfId="0" applyFont="1" applyBorder="1"/>
    <xf numFmtId="4" fontId="27" fillId="6" borderId="8" xfId="0" applyNumberFormat="1" applyFont="1" applyFill="1" applyBorder="1"/>
    <xf numFmtId="4" fontId="27" fillId="0" borderId="8" xfId="0" applyNumberFormat="1" applyFont="1" applyBorder="1"/>
    <xf numFmtId="4" fontId="27" fillId="0" borderId="9" xfId="0" applyNumberFormat="1" applyFont="1" applyBorder="1"/>
    <xf numFmtId="0" fontId="27" fillId="6" borderId="0" xfId="0" applyFont="1" applyFill="1" applyBorder="1"/>
    <xf numFmtId="0" fontId="27" fillId="6" borderId="8" xfId="0" applyFont="1" applyFill="1" applyBorder="1"/>
    <xf numFmtId="0" fontId="27" fillId="0" borderId="5" xfId="0" applyFont="1" applyBorder="1"/>
    <xf numFmtId="3" fontId="27" fillId="0" borderId="8" xfId="0" applyNumberFormat="1" applyFont="1" applyBorder="1"/>
    <xf numFmtId="3" fontId="27" fillId="0" borderId="9" xfId="0" applyNumberFormat="1" applyFont="1" applyBorder="1"/>
    <xf numFmtId="3" fontId="27" fillId="0" borderId="0" xfId="0" applyNumberFormat="1" applyFont="1"/>
    <xf numFmtId="0" fontId="27" fillId="8" borderId="1" xfId="0" applyFont="1" applyFill="1" applyBorder="1"/>
    <xf numFmtId="0" fontId="27" fillId="8" borderId="2" xfId="0" applyFont="1" applyFill="1" applyBorder="1"/>
    <xf numFmtId="0" fontId="28" fillId="8" borderId="2" xfId="0" applyFont="1" applyFill="1" applyBorder="1"/>
    <xf numFmtId="0" fontId="28" fillId="8" borderId="2" xfId="0" applyFont="1" applyFill="1" applyBorder="1" applyAlignment="1">
      <alignment horizontal="right"/>
    </xf>
    <xf numFmtId="0" fontId="28" fillId="8" borderId="3" xfId="0" applyFont="1" applyFill="1" applyBorder="1"/>
    <xf numFmtId="0" fontId="28" fillId="8" borderId="4" xfId="0" applyFont="1" applyFill="1" applyBorder="1"/>
    <xf numFmtId="0" fontId="27" fillId="8" borderId="0" xfId="0" applyFont="1" applyFill="1" applyBorder="1"/>
    <xf numFmtId="0" fontId="28" fillId="8" borderId="0" xfId="0" applyFont="1" applyFill="1" applyBorder="1"/>
    <xf numFmtId="0" fontId="28" fillId="8" borderId="0" xfId="0" applyFont="1" applyFill="1" applyBorder="1" applyAlignment="1">
      <alignment horizontal="right"/>
    </xf>
    <xf numFmtId="0" fontId="28" fillId="8" borderId="5" xfId="0" applyFont="1" applyFill="1" applyBorder="1"/>
    <xf numFmtId="0" fontId="27" fillId="8" borderId="4" xfId="0" applyFont="1" applyFill="1" applyBorder="1"/>
    <xf numFmtId="3" fontId="27" fillId="8" borderId="0" xfId="0" applyNumberFormat="1" applyFont="1" applyFill="1" applyBorder="1"/>
    <xf numFmtId="3" fontId="27" fillId="8" borderId="5" xfId="0" applyNumberFormat="1" applyFont="1" applyFill="1" applyBorder="1"/>
    <xf numFmtId="4" fontId="27" fillId="8" borderId="0" xfId="0" applyNumberFormat="1" applyFont="1" applyFill="1" applyBorder="1"/>
    <xf numFmtId="4" fontId="27" fillId="8" borderId="5" xfId="0" applyNumberFormat="1" applyFont="1" applyFill="1" applyBorder="1"/>
    <xf numFmtId="4" fontId="27" fillId="8" borderId="2" xfId="0" applyNumberFormat="1" applyFont="1" applyFill="1" applyBorder="1"/>
    <xf numFmtId="4" fontId="27" fillId="8" borderId="3" xfId="0" applyNumberFormat="1" applyFont="1" applyFill="1" applyBorder="1"/>
    <xf numFmtId="0" fontId="27" fillId="8" borderId="7" xfId="0" applyFont="1" applyFill="1" applyBorder="1"/>
    <xf numFmtId="0" fontId="27" fillId="8" borderId="8" xfId="0" applyFont="1" applyFill="1" applyBorder="1"/>
    <xf numFmtId="4" fontId="27" fillId="8" borderId="8" xfId="0" applyNumberFormat="1" applyFont="1" applyFill="1" applyBorder="1"/>
    <xf numFmtId="4" fontId="27" fillId="8" borderId="9" xfId="0" applyNumberFormat="1" applyFont="1" applyFill="1" applyBorder="1"/>
    <xf numFmtId="0" fontId="28" fillId="0" borderId="1" xfId="0" applyFont="1" applyBorder="1"/>
    <xf numFmtId="0" fontId="28" fillId="0" borderId="2" xfId="0" applyFont="1" applyBorder="1"/>
    <xf numFmtId="0" fontId="28" fillId="0" borderId="2" xfId="0" applyFont="1" applyBorder="1" applyAlignment="1">
      <alignment horizontal="right"/>
    </xf>
    <xf numFmtId="0" fontId="28" fillId="0" borderId="3" xfId="0" applyFont="1" applyBorder="1"/>
    <xf numFmtId="0" fontId="27" fillId="0" borderId="10" xfId="0" applyFont="1" applyBorder="1"/>
    <xf numFmtId="0" fontId="27" fillId="0" borderId="13" xfId="0" applyFont="1" applyBorder="1"/>
    <xf numFmtId="4" fontId="27" fillId="0" borderId="13" xfId="0" applyNumberFormat="1" applyFont="1" applyBorder="1"/>
    <xf numFmtId="4" fontId="27" fillId="0" borderId="11" xfId="0" applyNumberFormat="1" applyFont="1" applyBorder="1"/>
    <xf numFmtId="167" fontId="27" fillId="0" borderId="0" xfId="0" applyNumberFormat="1" applyFont="1" applyBorder="1"/>
    <xf numFmtId="167" fontId="27" fillId="0" borderId="5" xfId="0" applyNumberFormat="1" applyFont="1" applyBorder="1"/>
    <xf numFmtId="0" fontId="29" fillId="0" borderId="0" xfId="0" applyFont="1"/>
    <xf numFmtId="14" fontId="28" fillId="0" borderId="1" xfId="0" applyNumberFormat="1" applyFont="1" applyBorder="1"/>
    <xf numFmtId="14" fontId="28" fillId="0" borderId="2" xfId="0" applyNumberFormat="1" applyFont="1" applyBorder="1"/>
    <xf numFmtId="14" fontId="28" fillId="0" borderId="3" xfId="0" applyNumberFormat="1" applyFont="1" applyBorder="1"/>
    <xf numFmtId="14" fontId="28" fillId="0" borderId="7" xfId="0" applyNumberFormat="1" applyFont="1" applyBorder="1"/>
    <xf numFmtId="14" fontId="28" fillId="0" borderId="8" xfId="0" applyNumberFormat="1" applyFont="1" applyBorder="1"/>
    <xf numFmtId="14" fontId="28" fillId="0" borderId="9" xfId="0" applyNumberFormat="1" applyFont="1" applyBorder="1"/>
    <xf numFmtId="0" fontId="27" fillId="4" borderId="7" xfId="0" applyFont="1" applyFill="1" applyBorder="1"/>
    <xf numFmtId="3" fontId="27" fillId="4" borderId="8" xfId="0" applyNumberFormat="1" applyFont="1" applyFill="1" applyBorder="1"/>
    <xf numFmtId="3" fontId="27" fillId="4" borderId="9" xfId="0" applyNumberFormat="1" applyFont="1" applyFill="1" applyBorder="1"/>
    <xf numFmtId="3" fontId="27" fillId="4" borderId="0" xfId="0" applyNumberFormat="1" applyFont="1" applyFill="1" applyBorder="1"/>
    <xf numFmtId="0" fontId="30" fillId="0" borderId="0" xfId="0" applyFont="1"/>
    <xf numFmtId="0" fontId="28" fillId="0" borderId="10" xfId="0" applyFont="1" applyBorder="1"/>
    <xf numFmtId="0" fontId="28" fillId="0" borderId="13" xfId="0" applyFont="1" applyBorder="1"/>
    <xf numFmtId="0" fontId="28" fillId="0" borderId="11" xfId="0" applyFont="1" applyBorder="1"/>
    <xf numFmtId="14" fontId="28" fillId="0" borderId="4" xfId="0" applyNumberFormat="1" applyFont="1" applyBorder="1"/>
    <xf numFmtId="14" fontId="28" fillId="0" borderId="0" xfId="0" applyNumberFormat="1" applyFont="1" applyBorder="1"/>
    <xf numFmtId="14" fontId="28" fillId="0" borderId="5" xfId="0" applyNumberFormat="1" applyFont="1" applyBorder="1"/>
    <xf numFmtId="3" fontId="27" fillId="4" borderId="2" xfId="0" applyNumberFormat="1" applyFont="1" applyFill="1" applyBorder="1"/>
    <xf numFmtId="3" fontId="27" fillId="0" borderId="2" xfId="0" applyNumberFormat="1" applyFont="1" applyBorder="1"/>
    <xf numFmtId="3" fontId="27" fillId="0" borderId="3" xfId="0" applyNumberFormat="1" applyFont="1" applyBorder="1"/>
    <xf numFmtId="10" fontId="27" fillId="0" borderId="0" xfId="0" applyNumberFormat="1" applyFont="1" applyBorder="1"/>
    <xf numFmtId="10" fontId="27" fillId="0" borderId="5" xfId="0" applyNumberFormat="1" applyFont="1" applyBorder="1"/>
    <xf numFmtId="3" fontId="27" fillId="7" borderId="0" xfId="0" applyNumberFormat="1" applyFont="1" applyFill="1" applyBorder="1"/>
    <xf numFmtId="3" fontId="27" fillId="7" borderId="5" xfId="0" applyNumberFormat="1" applyFont="1" applyFill="1" applyBorder="1"/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wrapText="1"/>
    </xf>
    <xf numFmtId="4" fontId="32" fillId="0" borderId="0" xfId="0" applyNumberFormat="1" applyFont="1"/>
    <xf numFmtId="0" fontId="32" fillId="2" borderId="0" xfId="0" applyFont="1" applyFill="1" applyAlignment="1">
      <alignment wrapText="1"/>
    </xf>
    <xf numFmtId="4" fontId="32" fillId="2" borderId="0" xfId="0" applyNumberFormat="1" applyFont="1" applyFill="1"/>
    <xf numFmtId="10" fontId="32" fillId="0" borderId="0" xfId="2" applyNumberFormat="1" applyFont="1"/>
    <xf numFmtId="10" fontId="32" fillId="2" borderId="0" xfId="2" applyNumberFormat="1" applyFont="1" applyFill="1"/>
    <xf numFmtId="0" fontId="32" fillId="0" borderId="0" xfId="0" applyFont="1" applyBorder="1"/>
    <xf numFmtId="10" fontId="32" fillId="0" borderId="0" xfId="2" applyNumberFormat="1" applyFont="1" applyBorder="1"/>
    <xf numFmtId="0" fontId="31" fillId="0" borderId="0" xfId="0" applyFont="1" applyBorder="1"/>
    <xf numFmtId="4" fontId="32" fillId="0" borderId="0" xfId="0" applyNumberFormat="1" applyFont="1" applyBorder="1"/>
    <xf numFmtId="0" fontId="32" fillId="0" borderId="4" xfId="0" applyFont="1" applyBorder="1"/>
    <xf numFmtId="0" fontId="32" fillId="0" borderId="7" xfId="0" applyFont="1" applyBorder="1"/>
    <xf numFmtId="0" fontId="32" fillId="0" borderId="5" xfId="0" applyFont="1" applyBorder="1"/>
    <xf numFmtId="0" fontId="32" fillId="0" borderId="2" xfId="0" applyFont="1" applyBorder="1"/>
    <xf numFmtId="0" fontId="32" fillId="0" borderId="3" xfId="0" applyFont="1" applyBorder="1"/>
    <xf numFmtId="0" fontId="31" fillId="0" borderId="5" xfId="0" applyFont="1" applyBorder="1"/>
    <xf numFmtId="4" fontId="32" fillId="0" borderId="5" xfId="0" applyNumberFormat="1" applyFont="1" applyBorder="1"/>
    <xf numFmtId="0" fontId="30" fillId="0" borderId="1" xfId="0" applyFont="1" applyBorder="1"/>
    <xf numFmtId="0" fontId="30" fillId="0" borderId="2" xfId="0" applyFont="1" applyBorder="1"/>
    <xf numFmtId="0" fontId="31" fillId="0" borderId="4" xfId="0" applyFont="1" applyBorder="1"/>
    <xf numFmtId="0" fontId="31" fillId="0" borderId="0" xfId="0" applyFont="1" applyBorder="1" applyAlignment="1">
      <alignment horizontal="center"/>
    </xf>
    <xf numFmtId="10" fontId="32" fillId="0" borderId="5" xfId="2" applyNumberFormat="1" applyFont="1" applyBorder="1"/>
    <xf numFmtId="2" fontId="32" fillId="0" borderId="0" xfId="0" applyNumberFormat="1" applyFont="1" applyBorder="1"/>
    <xf numFmtId="2" fontId="32" fillId="0" borderId="5" xfId="0" applyNumberFormat="1" applyFont="1" applyBorder="1"/>
    <xf numFmtId="167" fontId="32" fillId="0" borderId="0" xfId="0" applyNumberFormat="1" applyFont="1" applyBorder="1"/>
    <xf numFmtId="43" fontId="32" fillId="8" borderId="7" xfId="1" applyNumberFormat="1" applyFont="1" applyFill="1" applyBorder="1"/>
    <xf numFmtId="43" fontId="32" fillId="8" borderId="8" xfId="1" applyNumberFormat="1" applyFont="1" applyFill="1" applyBorder="1"/>
    <xf numFmtId="43" fontId="32" fillId="8" borderId="9" xfId="1" applyNumberFormat="1" applyFont="1" applyFill="1" applyBorder="1"/>
    <xf numFmtId="0" fontId="33" fillId="20" borderId="0" xfId="0" applyFont="1" applyFill="1" applyBorder="1"/>
    <xf numFmtId="0" fontId="32" fillId="0" borderId="12" xfId="0" applyFont="1" applyBorder="1"/>
    <xf numFmtId="0" fontId="32" fillId="0" borderId="22" xfId="0" applyFont="1" applyBorder="1"/>
    <xf numFmtId="0" fontId="34" fillId="7" borderId="0" xfId="0" applyFont="1" applyFill="1"/>
    <xf numFmtId="2" fontId="32" fillId="0" borderId="22" xfId="0" applyNumberFormat="1" applyFont="1" applyBorder="1"/>
    <xf numFmtId="10" fontId="32" fillId="0" borderId="23" xfId="2" applyNumberFormat="1" applyFont="1" applyBorder="1"/>
    <xf numFmtId="2" fontId="32" fillId="0" borderId="0" xfId="0" applyNumberFormat="1" applyFont="1"/>
    <xf numFmtId="0" fontId="31" fillId="0" borderId="1" xfId="0" applyFont="1" applyBorder="1"/>
    <xf numFmtId="0" fontId="33" fillId="20" borderId="5" xfId="0" applyFont="1" applyFill="1" applyBorder="1"/>
    <xf numFmtId="10" fontId="32" fillId="0" borderId="8" xfId="2" applyNumberFormat="1" applyFont="1" applyBorder="1"/>
    <xf numFmtId="10" fontId="32" fillId="23" borderId="0" xfId="2" applyNumberFormat="1" applyFont="1" applyFill="1" applyBorder="1"/>
    <xf numFmtId="10" fontId="32" fillId="23" borderId="5" xfId="2" applyNumberFormat="1" applyFont="1" applyFill="1" applyBorder="1"/>
    <xf numFmtId="10" fontId="32" fillId="23" borderId="8" xfId="2" applyNumberFormat="1" applyFont="1" applyFill="1" applyBorder="1"/>
    <xf numFmtId="10" fontId="32" fillId="23" borderId="9" xfId="2" applyNumberFormat="1" applyFont="1" applyFill="1" applyBorder="1"/>
    <xf numFmtId="10" fontId="32" fillId="24" borderId="0" xfId="0" applyNumberFormat="1" applyFont="1" applyFill="1" applyBorder="1"/>
    <xf numFmtId="10" fontId="32" fillId="24" borderId="0" xfId="2" applyNumberFormat="1" applyFont="1" applyFill="1"/>
    <xf numFmtId="10" fontId="32" fillId="24" borderId="5" xfId="0" applyNumberFormat="1" applyFont="1" applyFill="1" applyBorder="1"/>
    <xf numFmtId="0" fontId="28" fillId="0" borderId="0" xfId="0" applyFont="1"/>
    <xf numFmtId="0" fontId="27" fillId="0" borderId="0" xfId="0" applyFont="1" applyAlignment="1">
      <alignment horizontal="center"/>
    </xf>
    <xf numFmtId="0" fontId="27" fillId="0" borderId="9" xfId="0" applyFont="1" applyBorder="1"/>
    <xf numFmtId="0" fontId="27" fillId="0" borderId="0" xfId="0" applyFont="1" applyBorder="1" applyAlignment="1">
      <alignment horizontal="center"/>
    </xf>
    <xf numFmtId="9" fontId="27" fillId="0" borderId="5" xfId="2" applyFont="1" applyBorder="1"/>
    <xf numFmtId="166" fontId="27" fillId="0" borderId="0" xfId="0" applyNumberFormat="1" applyFont="1" applyBorder="1"/>
    <xf numFmtId="0" fontId="27" fillId="2" borderId="4" xfId="0" applyFont="1" applyFill="1" applyBorder="1"/>
    <xf numFmtId="3" fontId="27" fillId="2" borderId="0" xfId="0" applyNumberFormat="1" applyFont="1" applyFill="1" applyBorder="1"/>
    <xf numFmtId="166" fontId="27" fillId="0" borderId="0" xfId="0" applyNumberFormat="1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3" fontId="27" fillId="2" borderId="5" xfId="0" applyNumberFormat="1" applyFont="1" applyFill="1" applyBorder="1"/>
    <xf numFmtId="0" fontId="27" fillId="7" borderId="4" xfId="0" applyFont="1" applyFill="1" applyBorder="1"/>
    <xf numFmtId="3" fontId="27" fillId="0" borderId="4" xfId="0" applyNumberFormat="1" applyFont="1" applyBorder="1"/>
    <xf numFmtId="166" fontId="27" fillId="0" borderId="0" xfId="0" applyNumberFormat="1" applyFont="1" applyAlignment="1">
      <alignment horizontal="center"/>
    </xf>
    <xf numFmtId="166" fontId="27" fillId="0" borderId="0" xfId="0" applyNumberFormat="1" applyFont="1"/>
    <xf numFmtId="9" fontId="27" fillId="0" borderId="0" xfId="2" applyFont="1"/>
    <xf numFmtId="9" fontId="27" fillId="0" borderId="0" xfId="2" applyNumberFormat="1" applyFont="1"/>
    <xf numFmtId="0" fontId="27" fillId="2" borderId="0" xfId="0" applyFont="1" applyFill="1"/>
    <xf numFmtId="3" fontId="27" fillId="2" borderId="0" xfId="0" applyNumberFormat="1" applyFont="1" applyFill="1"/>
    <xf numFmtId="0" fontId="35" fillId="0" borderId="0" xfId="0" applyFont="1"/>
    <xf numFmtId="3" fontId="35" fillId="0" borderId="0" xfId="0" applyNumberFormat="1" applyFont="1"/>
    <xf numFmtId="3" fontId="27" fillId="0" borderId="0" xfId="2" applyNumberFormat="1" applyFont="1" applyBorder="1"/>
    <xf numFmtId="3" fontId="27" fillId="0" borderId="5" xfId="2" applyNumberFormat="1" applyFont="1" applyBorder="1"/>
    <xf numFmtId="0" fontId="27" fillId="4" borderId="4" xfId="0" applyFont="1" applyFill="1" applyBorder="1"/>
    <xf numFmtId="3" fontId="27" fillId="4" borderId="5" xfId="0" applyNumberFormat="1" applyFont="1" applyFill="1" applyBorder="1"/>
    <xf numFmtId="10" fontId="27" fillId="0" borderId="0" xfId="2" applyNumberFormat="1" applyFont="1" applyBorder="1"/>
    <xf numFmtId="10" fontId="27" fillId="0" borderId="5" xfId="2" applyNumberFormat="1" applyFont="1" applyBorder="1"/>
    <xf numFmtId="0" fontId="27" fillId="4" borderId="8" xfId="0" applyFont="1" applyFill="1" applyBorder="1"/>
    <xf numFmtId="43" fontId="27" fillId="4" borderId="8" xfId="1" applyFont="1" applyFill="1" applyBorder="1"/>
    <xf numFmtId="43" fontId="27" fillId="4" borderId="9" xfId="1" applyFont="1" applyFill="1" applyBorder="1"/>
    <xf numFmtId="0" fontId="36" fillId="0" borderId="21" xfId="0" applyFont="1" applyBorder="1"/>
    <xf numFmtId="4" fontId="27" fillId="0" borderId="19" xfId="0" applyNumberFormat="1" applyFont="1" applyBorder="1"/>
    <xf numFmtId="4" fontId="27" fillId="0" borderId="20" xfId="0" applyNumberFormat="1" applyFont="1" applyBorder="1"/>
    <xf numFmtId="4" fontId="27" fillId="0" borderId="0" xfId="0" applyNumberFormat="1" applyFont="1"/>
    <xf numFmtId="4" fontId="37" fillId="0" borderId="0" xfId="0" applyNumberFormat="1" applyFont="1" applyBorder="1"/>
    <xf numFmtId="4" fontId="37" fillId="0" borderId="5" xfId="0" applyNumberFormat="1" applyFont="1" applyBorder="1" applyAlignment="1">
      <alignment horizontal="center"/>
    </xf>
    <xf numFmtId="4" fontId="27" fillId="4" borderId="0" xfId="0" applyNumberFormat="1" applyFont="1" applyFill="1" applyBorder="1"/>
    <xf numFmtId="4" fontId="27" fillId="4" borderId="5" xfId="0" applyNumberFormat="1" applyFont="1" applyFill="1" applyBorder="1"/>
    <xf numFmtId="169" fontId="27" fillId="0" borderId="5" xfId="2" applyNumberFormat="1" applyFont="1" applyBorder="1"/>
    <xf numFmtId="4" fontId="27" fillId="4" borderId="8" xfId="0" applyNumberFormat="1" applyFont="1" applyFill="1" applyBorder="1"/>
    <xf numFmtId="4" fontId="27" fillId="4" borderId="9" xfId="0" applyNumberFormat="1" applyFont="1" applyFill="1" applyBorder="1"/>
    <xf numFmtId="0" fontId="28" fillId="4" borderId="0" xfId="0" applyFont="1" applyFill="1"/>
    <xf numFmtId="4" fontId="37" fillId="0" borderId="0" xfId="0" applyNumberFormat="1" applyFont="1"/>
    <xf numFmtId="4" fontId="37" fillId="0" borderId="0" xfId="0" applyNumberFormat="1" applyFont="1" applyAlignment="1">
      <alignment horizontal="center"/>
    </xf>
    <xf numFmtId="4" fontId="27" fillId="0" borderId="18" xfId="0" applyNumberFormat="1" applyFont="1" applyBorder="1"/>
    <xf numFmtId="10" fontId="27" fillId="0" borderId="0" xfId="2" applyNumberFormat="1" applyFont="1"/>
    <xf numFmtId="10" fontId="27" fillId="0" borderId="18" xfId="2" applyNumberFormat="1" applyFont="1" applyBorder="1"/>
    <xf numFmtId="4" fontId="28" fillId="0" borderId="0" xfId="0" applyNumberFormat="1" applyFont="1"/>
    <xf numFmtId="0" fontId="27" fillId="4" borderId="0" xfId="0" applyFont="1" applyFill="1"/>
    <xf numFmtId="4" fontId="27" fillId="4" borderId="0" xfId="0" applyNumberFormat="1" applyFont="1" applyFill="1"/>
    <xf numFmtId="4" fontId="27" fillId="2" borderId="0" xfId="0" applyNumberFormat="1" applyFont="1" applyFill="1"/>
    <xf numFmtId="4" fontId="27" fillId="0" borderId="0" xfId="2" applyNumberFormat="1" applyFont="1"/>
    <xf numFmtId="0" fontId="28" fillId="2" borderId="26" xfId="0" applyFont="1" applyFill="1" applyBorder="1"/>
    <xf numFmtId="4" fontId="28" fillId="2" borderId="27" xfId="0" applyNumberFormat="1" applyFont="1" applyFill="1" applyBorder="1"/>
    <xf numFmtId="4" fontId="28" fillId="2" borderId="28" xfId="0" applyNumberFormat="1" applyFont="1" applyFill="1" applyBorder="1"/>
    <xf numFmtId="4" fontId="28" fillId="0" borderId="5" xfId="0" applyNumberFormat="1" applyFont="1" applyBorder="1"/>
    <xf numFmtId="0" fontId="28" fillId="4" borderId="29" xfId="0" applyFont="1" applyFill="1" applyBorder="1"/>
    <xf numFmtId="4" fontId="27" fillId="4" borderId="30" xfId="0" applyNumberFormat="1" applyFont="1" applyFill="1" applyBorder="1"/>
    <xf numFmtId="4" fontId="28" fillId="4" borderId="31" xfId="0" applyNumberFormat="1" applyFont="1" applyFill="1" applyBorder="1"/>
    <xf numFmtId="0" fontId="27" fillId="7" borderId="1" xfId="0" applyFont="1" applyFill="1" applyBorder="1"/>
    <xf numFmtId="3" fontId="27" fillId="7" borderId="2" xfId="0" applyNumberFormat="1" applyFont="1" applyFill="1" applyBorder="1"/>
    <xf numFmtId="3" fontId="27" fillId="7" borderId="3" xfId="0" applyNumberFormat="1" applyFont="1" applyFill="1" applyBorder="1"/>
    <xf numFmtId="0" fontId="27" fillId="2" borderId="10" xfId="0" applyFont="1" applyFill="1" applyBorder="1"/>
    <xf numFmtId="3" fontId="27" fillId="2" borderId="13" xfId="0" applyNumberFormat="1" applyFont="1" applyFill="1" applyBorder="1"/>
    <xf numFmtId="3" fontId="27" fillId="2" borderId="11" xfId="0" applyNumberFormat="1" applyFont="1" applyFill="1" applyBorder="1"/>
    <xf numFmtId="3" fontId="27" fillId="4" borderId="0" xfId="0" applyNumberFormat="1" applyFont="1" applyFill="1"/>
    <xf numFmtId="0" fontId="27" fillId="0" borderId="11" xfId="0" applyFont="1" applyBorder="1"/>
    <xf numFmtId="4" fontId="0" fillId="0" borderId="0" xfId="0" applyNumberFormat="1"/>
    <xf numFmtId="0" fontId="0" fillId="24" borderId="0" xfId="0" applyFill="1"/>
    <xf numFmtId="4" fontId="0" fillId="24" borderId="0" xfId="0" applyNumberFormat="1" applyFill="1"/>
    <xf numFmtId="4" fontId="23" fillId="0" borderId="2" xfId="0" applyNumberFormat="1" applyFont="1" applyBorder="1"/>
    <xf numFmtId="4" fontId="23" fillId="0" borderId="0" xfId="0" applyNumberFormat="1" applyFont="1" applyBorder="1"/>
    <xf numFmtId="4" fontId="23" fillId="7" borderId="0" xfId="0" applyNumberFormat="1" applyFont="1" applyFill="1" applyBorder="1"/>
    <xf numFmtId="4" fontId="23" fillId="7" borderId="8" xfId="0" applyNumberFormat="1" applyFont="1" applyFill="1" applyBorder="1"/>
    <xf numFmtId="4" fontId="23" fillId="0" borderId="8" xfId="0" applyNumberFormat="1" applyFont="1" applyBorder="1"/>
    <xf numFmtId="4" fontId="23" fillId="0" borderId="9" xfId="0" applyNumberFormat="1" applyFont="1" applyBorder="1"/>
    <xf numFmtId="4" fontId="23" fillId="25" borderId="8" xfId="0" applyNumberFormat="1" applyFont="1" applyFill="1" applyBorder="1"/>
    <xf numFmtId="4" fontId="23" fillId="25" borderId="9" xfId="0" applyNumberFormat="1" applyFont="1" applyFill="1" applyBorder="1"/>
    <xf numFmtId="4" fontId="23" fillId="25" borderId="13" xfId="0" applyNumberFormat="1" applyFont="1" applyFill="1" applyBorder="1"/>
    <xf numFmtId="4" fontId="23" fillId="25" borderId="11" xfId="0" applyNumberFormat="1" applyFont="1" applyFill="1" applyBorder="1"/>
    <xf numFmtId="4" fontId="23" fillId="0" borderId="13" xfId="0" applyNumberFormat="1" applyFont="1" applyBorder="1"/>
    <xf numFmtId="4" fontId="23" fillId="0" borderId="11" xfId="0" applyNumberFormat="1" applyFont="1" applyBorder="1"/>
    <xf numFmtId="0" fontId="25" fillId="0" borderId="0" xfId="0" applyFont="1"/>
    <xf numFmtId="0" fontId="23" fillId="0" borderId="1" xfId="0" applyFont="1" applyBorder="1"/>
    <xf numFmtId="0" fontId="23" fillId="0" borderId="2" xfId="0" applyFont="1" applyBorder="1"/>
    <xf numFmtId="0" fontId="23" fillId="0" borderId="3" xfId="0" applyFont="1" applyBorder="1"/>
    <xf numFmtId="0" fontId="23" fillId="0" borderId="4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14" fontId="23" fillId="0" borderId="4" xfId="0" applyNumberFormat="1" applyFont="1" applyBorder="1"/>
    <xf numFmtId="1" fontId="23" fillId="0" borderId="0" xfId="0" applyNumberFormat="1" applyFont="1" applyBorder="1"/>
    <xf numFmtId="0" fontId="23" fillId="0" borderId="5" xfId="0" applyFont="1" applyBorder="1"/>
    <xf numFmtId="1" fontId="23" fillId="7" borderId="0" xfId="0" applyNumberFormat="1" applyFont="1" applyFill="1" applyBorder="1"/>
    <xf numFmtId="0" fontId="23" fillId="7" borderId="0" xfId="0" applyFont="1" applyFill="1" applyBorder="1"/>
    <xf numFmtId="0" fontId="23" fillId="0" borderId="7" xfId="0" applyFont="1" applyBorder="1"/>
    <xf numFmtId="0" fontId="23" fillId="7" borderId="8" xfId="0" applyFont="1" applyFill="1" applyBorder="1"/>
    <xf numFmtId="0" fontId="23" fillId="7" borderId="0" xfId="0" applyFont="1" applyFill="1"/>
    <xf numFmtId="0" fontId="23" fillId="7" borderId="2" xfId="0" applyFont="1" applyFill="1" applyBorder="1"/>
    <xf numFmtId="14" fontId="23" fillId="0" borderId="7" xfId="0" applyNumberFormat="1" applyFont="1" applyBorder="1"/>
    <xf numFmtId="0" fontId="23" fillId="0" borderId="8" xfId="0" applyFont="1" applyBorder="1"/>
    <xf numFmtId="0" fontId="23" fillId="0" borderId="9" xfId="0" applyFont="1" applyBorder="1"/>
    <xf numFmtId="14" fontId="23" fillId="7" borderId="0" xfId="0" applyNumberFormat="1" applyFont="1" applyFill="1" applyBorder="1"/>
    <xf numFmtId="14" fontId="23" fillId="0" borderId="0" xfId="0" applyNumberFormat="1" applyFont="1" applyBorder="1"/>
    <xf numFmtId="0" fontId="23" fillId="25" borderId="7" xfId="0" applyFont="1" applyFill="1" applyBorder="1"/>
    <xf numFmtId="0" fontId="23" fillId="25" borderId="8" xfId="0" applyFont="1" applyFill="1" applyBorder="1"/>
    <xf numFmtId="0" fontId="23" fillId="25" borderId="10" xfId="0" applyFont="1" applyFill="1" applyBorder="1"/>
    <xf numFmtId="0" fontId="23" fillId="25" borderId="13" xfId="0" applyFont="1" applyFill="1" applyBorder="1"/>
    <xf numFmtId="14" fontId="23" fillId="7" borderId="55" xfId="0" applyNumberFormat="1" applyFont="1" applyFill="1" applyBorder="1"/>
    <xf numFmtId="14" fontId="23" fillId="0" borderId="0" xfId="0" applyNumberFormat="1" applyFont="1"/>
    <xf numFmtId="0" fontId="23" fillId="0" borderId="10" xfId="0" applyFont="1" applyBorder="1"/>
    <xf numFmtId="0" fontId="23" fillId="0" borderId="13" xfId="0" applyFont="1" applyBorder="1"/>
    <xf numFmtId="0" fontId="23" fillId="0" borderId="11" xfId="0" applyFont="1" applyBorder="1"/>
    <xf numFmtId="0" fontId="39" fillId="0" borderId="0" xfId="0" applyFont="1"/>
    <xf numFmtId="0" fontId="39" fillId="3" borderId="0" xfId="0" applyFont="1" applyFill="1"/>
    <xf numFmtId="164" fontId="39" fillId="0" borderId="0" xfId="0" applyNumberFormat="1" applyFont="1" applyAlignment="1">
      <alignment horizontal="right" vertical="top"/>
    </xf>
    <xf numFmtId="0" fontId="39" fillId="0" borderId="0" xfId="0" applyFont="1" applyAlignment="1">
      <alignment horizontal="left" vertical="top" wrapText="1"/>
    </xf>
    <xf numFmtId="164" fontId="39" fillId="3" borderId="0" xfId="0" applyNumberFormat="1" applyFont="1" applyFill="1"/>
    <xf numFmtId="0" fontId="41" fillId="3" borderId="0" xfId="0" applyFont="1" applyFill="1"/>
    <xf numFmtId="10" fontId="39" fillId="3" borderId="0" xfId="0" applyNumberFormat="1" applyFont="1" applyFill="1"/>
    <xf numFmtId="173" fontId="39" fillId="3" borderId="0" xfId="0" applyNumberFormat="1" applyFont="1" applyFill="1"/>
    <xf numFmtId="0" fontId="40" fillId="0" borderId="1" xfId="0" applyFont="1" applyBorder="1" applyAlignment="1">
      <alignment horizontal="left" vertical="top" wrapText="1"/>
    </xf>
    <xf numFmtId="0" fontId="39" fillId="3" borderId="2" xfId="0" applyFont="1" applyFill="1" applyBorder="1"/>
    <xf numFmtId="0" fontId="39" fillId="3" borderId="3" xfId="0" applyFont="1" applyFill="1" applyBorder="1"/>
    <xf numFmtId="0" fontId="40" fillId="0" borderId="4" xfId="0" applyFont="1" applyBorder="1" applyAlignment="1">
      <alignment horizontal="left" vertical="top" wrapText="1"/>
    </xf>
    <xf numFmtId="14" fontId="41" fillId="0" borderId="0" xfId="0" applyNumberFormat="1" applyFont="1" applyBorder="1" applyAlignment="1">
      <alignment horizontal="right" vertical="top"/>
    </xf>
    <xf numFmtId="0" fontId="41" fillId="3" borderId="0" xfId="0" applyFont="1" applyFill="1" applyBorder="1"/>
    <xf numFmtId="0" fontId="39" fillId="3" borderId="5" xfId="0" applyFont="1" applyFill="1" applyBorder="1"/>
    <xf numFmtId="0" fontId="41" fillId="3" borderId="4" xfId="0" applyFont="1" applyFill="1" applyBorder="1"/>
    <xf numFmtId="3" fontId="39" fillId="3" borderId="0" xfId="0" applyNumberFormat="1" applyFont="1" applyFill="1" applyBorder="1"/>
    <xf numFmtId="9" fontId="39" fillId="3" borderId="5" xfId="2" applyFont="1" applyFill="1" applyBorder="1"/>
    <xf numFmtId="0" fontId="41" fillId="3" borderId="7" xfId="0" applyFont="1" applyFill="1" applyBorder="1"/>
    <xf numFmtId="3" fontId="39" fillId="3" borderId="8" xfId="0" applyNumberFormat="1" applyFont="1" applyFill="1" applyBorder="1"/>
    <xf numFmtId="9" fontId="39" fillId="3" borderId="9" xfId="2" applyFont="1" applyFill="1" applyBorder="1"/>
    <xf numFmtId="0" fontId="41" fillId="3" borderId="1" xfId="0" applyFont="1" applyFill="1" applyBorder="1"/>
    <xf numFmtId="9" fontId="39" fillId="3" borderId="0" xfId="0" applyNumberFormat="1" applyFont="1" applyFill="1" applyBorder="1"/>
    <xf numFmtId="0" fontId="39" fillId="3" borderId="4" xfId="0" applyFont="1" applyFill="1" applyBorder="1"/>
    <xf numFmtId="10" fontId="39" fillId="3" borderId="0" xfId="2" applyNumberFormat="1" applyFont="1" applyFill="1" applyBorder="1"/>
    <xf numFmtId="0" fontId="39" fillId="3" borderId="0" xfId="0" applyFont="1" applyFill="1" applyBorder="1"/>
    <xf numFmtId="0" fontId="39" fillId="3" borderId="7" xfId="0" applyFont="1" applyFill="1" applyBorder="1"/>
    <xf numFmtId="173" fontId="39" fillId="3" borderId="8" xfId="0" applyNumberFormat="1" applyFont="1" applyFill="1" applyBorder="1"/>
    <xf numFmtId="0" fontId="39" fillId="3" borderId="8" xfId="0" applyFont="1" applyFill="1" applyBorder="1"/>
    <xf numFmtId="0" fontId="39" fillId="3" borderId="9" xfId="0" applyFont="1" applyFill="1" applyBorder="1"/>
    <xf numFmtId="0" fontId="38" fillId="0" borderId="1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 wrapText="1"/>
    </xf>
    <xf numFmtId="0" fontId="4" fillId="0" borderId="3" xfId="0" applyFont="1" applyBorder="1"/>
    <xf numFmtId="0" fontId="38" fillId="0" borderId="4" xfId="0" applyFont="1" applyBorder="1" applyAlignment="1">
      <alignment horizontal="left" vertical="top" wrapText="1"/>
    </xf>
    <xf numFmtId="14" fontId="16" fillId="0" borderId="0" xfId="0" applyNumberFormat="1" applyFont="1" applyBorder="1" applyAlignment="1">
      <alignment horizontal="right" vertical="top"/>
    </xf>
    <xf numFmtId="14" fontId="16" fillId="0" borderId="5" xfId="0" applyNumberFormat="1" applyFont="1" applyBorder="1" applyAlignment="1">
      <alignment horizontal="right" vertical="top"/>
    </xf>
    <xf numFmtId="0" fontId="16" fillId="0" borderId="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2" borderId="4" xfId="0" applyFont="1" applyFill="1" applyBorder="1" applyAlignment="1">
      <alignment horizontal="left" vertical="top" wrapText="1"/>
    </xf>
    <xf numFmtId="164" fontId="4" fillId="2" borderId="0" xfId="0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0" fontId="16" fillId="0" borderId="4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2" borderId="0" xfId="0" applyNumberFormat="1" applyFont="1" applyFill="1" applyBorder="1" applyAlignment="1">
      <alignment horizontal="right" vertical="top" wrapText="1"/>
    </xf>
    <xf numFmtId="164" fontId="4" fillId="2" borderId="5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 wrapText="1"/>
    </xf>
    <xf numFmtId="164" fontId="4" fillId="0" borderId="5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/>
    </xf>
    <xf numFmtId="1" fontId="4" fillId="0" borderId="5" xfId="0" applyNumberFormat="1" applyFont="1" applyBorder="1" applyAlignment="1">
      <alignment horizontal="right" vertical="top"/>
    </xf>
    <xf numFmtId="0" fontId="16" fillId="2" borderId="7" xfId="0" applyFont="1" applyFill="1" applyBorder="1" applyAlignment="1">
      <alignment horizontal="left" vertical="top" wrapText="1"/>
    </xf>
    <xf numFmtId="164" fontId="4" fillId="2" borderId="8" xfId="0" applyNumberFormat="1" applyFont="1" applyFill="1" applyBorder="1" applyAlignment="1">
      <alignment horizontal="right" vertical="top"/>
    </xf>
    <xf numFmtId="164" fontId="4" fillId="2" borderId="9" xfId="0" applyNumberFormat="1" applyFont="1" applyFill="1" applyBorder="1" applyAlignment="1">
      <alignment horizontal="right" vertical="top"/>
    </xf>
    <xf numFmtId="3" fontId="39" fillId="24" borderId="8" xfId="0" applyNumberFormat="1" applyFont="1" applyFill="1" applyBorder="1"/>
    <xf numFmtId="0" fontId="39" fillId="3" borderId="1" xfId="0" applyFont="1" applyFill="1" applyBorder="1"/>
    <xf numFmtId="14" fontId="41" fillId="0" borderId="2" xfId="0" applyNumberFormat="1" applyFont="1" applyBorder="1" applyAlignment="1">
      <alignment horizontal="right" vertical="top"/>
    </xf>
    <xf numFmtId="0" fontId="41" fillId="3" borderId="3" xfId="0" applyFont="1" applyFill="1" applyBorder="1" applyAlignment="1">
      <alignment horizontal="center"/>
    </xf>
    <xf numFmtId="10" fontId="39" fillId="3" borderId="5" xfId="0" applyNumberFormat="1" applyFont="1" applyFill="1" applyBorder="1"/>
    <xf numFmtId="0" fontId="41" fillId="3" borderId="8" xfId="0" applyFont="1" applyFill="1" applyBorder="1"/>
    <xf numFmtId="10" fontId="39" fillId="3" borderId="8" xfId="2" applyNumberFormat="1" applyFont="1" applyFill="1" applyBorder="1"/>
    <xf numFmtId="10" fontId="39" fillId="21" borderId="9" xfId="0" applyNumberFormat="1" applyFont="1" applyFill="1" applyBorder="1"/>
    <xf numFmtId="10" fontId="39" fillId="21" borderId="0" xfId="2" applyNumberFormat="1" applyFont="1" applyFill="1" applyBorder="1"/>
    <xf numFmtId="0" fontId="39" fillId="22" borderId="7" xfId="0" applyFont="1" applyFill="1" applyBorder="1"/>
    <xf numFmtId="4" fontId="39" fillId="22" borderId="8" xfId="0" applyNumberFormat="1" applyFont="1" applyFill="1" applyBorder="1"/>
    <xf numFmtId="3" fontId="39" fillId="22" borderId="8" xfId="0" applyNumberFormat="1" applyFont="1" applyFill="1" applyBorder="1"/>
    <xf numFmtId="0" fontId="39" fillId="22" borderId="9" xfId="0" applyFont="1" applyFill="1" applyBorder="1"/>
    <xf numFmtId="0" fontId="39" fillId="22" borderId="10" xfId="0" applyFont="1" applyFill="1" applyBorder="1"/>
    <xf numFmtId="0" fontId="39" fillId="22" borderId="13" xfId="0" applyFont="1" applyFill="1" applyBorder="1"/>
    <xf numFmtId="0" fontId="39" fillId="22" borderId="11" xfId="0" applyFont="1" applyFill="1" applyBorder="1"/>
    <xf numFmtId="4" fontId="39" fillId="22" borderId="13" xfId="0" applyNumberFormat="1" applyFont="1" applyFill="1" applyBorder="1"/>
    <xf numFmtId="0" fontId="27" fillId="0" borderId="8" xfId="0" applyFont="1" applyBorder="1" applyAlignment="1">
      <alignment horizontal="center"/>
    </xf>
    <xf numFmtId="0" fontId="23" fillId="0" borderId="40" xfId="0" applyFont="1" applyBorder="1"/>
    <xf numFmtId="0" fontId="23" fillId="0" borderId="49" xfId="0" applyFont="1" applyBorder="1"/>
    <xf numFmtId="4" fontId="23" fillId="0" borderId="49" xfId="0" applyNumberFormat="1" applyFont="1" applyBorder="1"/>
    <xf numFmtId="4" fontId="23" fillId="0" borderId="35" xfId="0" applyNumberFormat="1" applyFont="1" applyBorder="1"/>
    <xf numFmtId="0" fontId="23" fillId="0" borderId="33" xfId="0" applyFont="1" applyBorder="1"/>
    <xf numFmtId="0" fontId="23" fillId="0" borderId="17" xfId="0" applyFont="1" applyBorder="1"/>
    <xf numFmtId="0" fontId="23" fillId="0" borderId="50" xfId="0" applyFont="1" applyBorder="1"/>
    <xf numFmtId="0" fontId="23" fillId="0" borderId="14" xfId="0" applyFont="1" applyBorder="1"/>
    <xf numFmtId="4" fontId="23" fillId="0" borderId="14" xfId="0" applyNumberFormat="1" applyFont="1" applyBorder="1"/>
    <xf numFmtId="0" fontId="23" fillId="0" borderId="44" xfId="0" applyFont="1" applyBorder="1"/>
    <xf numFmtId="169" fontId="32" fillId="0" borderId="0" xfId="2" applyNumberFormat="1" applyFont="1"/>
    <xf numFmtId="4" fontId="32" fillId="0" borderId="2" xfId="0" applyNumberFormat="1" applyFont="1" applyBorder="1"/>
    <xf numFmtId="14" fontId="32" fillId="0" borderId="7" xfId="0" applyNumberFormat="1" applyFont="1" applyBorder="1"/>
    <xf numFmtId="14" fontId="32" fillId="0" borderId="8" xfId="0" applyNumberFormat="1" applyFont="1" applyBorder="1"/>
    <xf numFmtId="0" fontId="32" fillId="0" borderId="8" xfId="0" applyFont="1" applyBorder="1"/>
    <xf numFmtId="4" fontId="32" fillId="0" borderId="8" xfId="0" applyNumberFormat="1" applyFont="1" applyBorder="1"/>
    <xf numFmtId="9" fontId="32" fillId="0" borderId="8" xfId="0" applyNumberFormat="1" applyFont="1" applyBorder="1"/>
    <xf numFmtId="9" fontId="32" fillId="0" borderId="9" xfId="0" applyNumberFormat="1" applyFont="1" applyBorder="1"/>
    <xf numFmtId="14" fontId="32" fillId="0" borderId="0" xfId="0" applyNumberFormat="1" applyFont="1"/>
    <xf numFmtId="9" fontId="32" fillId="0" borderId="0" xfId="0" applyNumberFormat="1" applyFont="1"/>
    <xf numFmtId="14" fontId="31" fillId="0" borderId="1" xfId="0" applyNumberFormat="1" applyFont="1" applyBorder="1"/>
    <xf numFmtId="14" fontId="32" fillId="0" borderId="2" xfId="0" applyNumberFormat="1" applyFont="1" applyBorder="1"/>
    <xf numFmtId="4" fontId="32" fillId="0" borderId="2" xfId="0" applyNumberFormat="1" applyFont="1" applyBorder="1" applyAlignment="1">
      <alignment horizontal="center" textRotation="90"/>
    </xf>
    <xf numFmtId="9" fontId="32" fillId="0" borderId="2" xfId="0" applyNumberFormat="1" applyFont="1" applyBorder="1" applyAlignment="1">
      <alignment horizontal="center" textRotation="90"/>
    </xf>
    <xf numFmtId="9" fontId="32" fillId="0" borderId="3" xfId="0" applyNumberFormat="1" applyFont="1" applyBorder="1" applyAlignment="1">
      <alignment horizontal="center" textRotation="90"/>
    </xf>
    <xf numFmtId="14" fontId="31" fillId="0" borderId="4" xfId="0" applyNumberFormat="1" applyFont="1" applyBorder="1"/>
    <xf numFmtId="14" fontId="32" fillId="0" borderId="0" xfId="0" applyNumberFormat="1" applyFont="1" applyBorder="1"/>
    <xf numFmtId="4" fontId="32" fillId="0" borderId="0" xfId="0" applyNumberFormat="1" applyFont="1" applyBorder="1" applyAlignment="1">
      <alignment textRotation="90"/>
    </xf>
    <xf numFmtId="9" fontId="32" fillId="0" borderId="0" xfId="0" applyNumberFormat="1" applyFont="1" applyBorder="1" applyAlignment="1">
      <alignment textRotation="90"/>
    </xf>
    <xf numFmtId="9" fontId="32" fillId="0" borderId="5" xfId="0" applyNumberFormat="1" applyFont="1" applyBorder="1" applyAlignment="1">
      <alignment textRotation="90"/>
    </xf>
    <xf numFmtId="10" fontId="32" fillId="0" borderId="0" xfId="0" applyNumberFormat="1" applyFont="1" applyBorder="1"/>
    <xf numFmtId="9" fontId="32" fillId="0" borderId="5" xfId="0" applyNumberFormat="1" applyFont="1" applyBorder="1"/>
    <xf numFmtId="10" fontId="32" fillId="0" borderId="0" xfId="0" applyNumberFormat="1" applyFont="1" applyBorder="1" applyAlignment="1">
      <alignment horizontal="right"/>
    </xf>
    <xf numFmtId="9" fontId="32" fillId="0" borderId="0" xfId="0" applyNumberFormat="1" applyFont="1" applyBorder="1"/>
    <xf numFmtId="14" fontId="32" fillId="0" borderId="0" xfId="0" applyNumberFormat="1" applyFont="1" applyBorder="1" applyAlignment="1">
      <alignment horizontal="right" vertical="top" wrapText="1"/>
    </xf>
    <xf numFmtId="0" fontId="43" fillId="0" borderId="18" xfId="0" applyFont="1" applyBorder="1" applyAlignment="1">
      <alignment horizontal="center" vertical="center" wrapText="1"/>
    </xf>
    <xf numFmtId="169" fontId="43" fillId="0" borderId="18" xfId="2" applyNumberFormat="1" applyFont="1" applyBorder="1" applyAlignment="1">
      <alignment horizontal="center" vertical="center" wrapText="1"/>
    </xf>
    <xf numFmtId="0" fontId="32" fillId="17" borderId="7" xfId="0" applyFont="1" applyFill="1" applyBorder="1"/>
    <xf numFmtId="0" fontId="32" fillId="17" borderId="8" xfId="0" applyFont="1" applyFill="1" applyBorder="1" applyAlignment="1">
      <alignment horizontal="right" vertical="top" wrapText="1"/>
    </xf>
    <xf numFmtId="10" fontId="32" fillId="17" borderId="8" xfId="2" applyNumberFormat="1" applyFont="1" applyFill="1" applyBorder="1"/>
    <xf numFmtId="4" fontId="32" fillId="17" borderId="8" xfId="0" applyNumberFormat="1" applyFont="1" applyFill="1" applyBorder="1"/>
    <xf numFmtId="9" fontId="32" fillId="17" borderId="8" xfId="0" applyNumberFormat="1" applyFont="1" applyFill="1" applyBorder="1"/>
    <xf numFmtId="9" fontId="32" fillId="17" borderId="9" xfId="0" applyNumberFormat="1" applyFont="1" applyFill="1" applyBorder="1"/>
    <xf numFmtId="0" fontId="32" fillId="0" borderId="0" xfId="0" applyFont="1" applyAlignment="1">
      <alignment horizontal="right" vertical="top" wrapText="1"/>
    </xf>
    <xf numFmtId="0" fontId="32" fillId="0" borderId="2" xfId="0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3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4" fontId="32" fillId="0" borderId="0" xfId="0" applyNumberFormat="1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17" borderId="8" xfId="0" applyFont="1" applyFill="1" applyBorder="1"/>
    <xf numFmtId="4" fontId="32" fillId="17" borderId="9" xfId="0" applyNumberFormat="1" applyFont="1" applyFill="1" applyBorder="1"/>
    <xf numFmtId="4" fontId="32" fillId="0" borderId="5" xfId="0" applyNumberFormat="1" applyFont="1" applyBorder="1" applyAlignment="1">
      <alignment horizontal="center"/>
    </xf>
    <xf numFmtId="0" fontId="44" fillId="18" borderId="7" xfId="0" applyFont="1" applyFill="1" applyBorder="1"/>
    <xf numFmtId="0" fontId="44" fillId="18" borderId="8" xfId="0" applyFont="1" applyFill="1" applyBorder="1"/>
    <xf numFmtId="4" fontId="44" fillId="18" borderId="8" xfId="0" applyNumberFormat="1" applyFont="1" applyFill="1" applyBorder="1"/>
    <xf numFmtId="4" fontId="44" fillId="18" borderId="9" xfId="0" applyNumberFormat="1" applyFont="1" applyFill="1" applyBorder="1"/>
    <xf numFmtId="4" fontId="45" fillId="0" borderId="8" xfId="0" applyNumberFormat="1" applyFont="1" applyBorder="1"/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4" fontId="23" fillId="7" borderId="9" xfId="0" applyNumberFormat="1" applyFont="1" applyFill="1" applyBorder="1"/>
    <xf numFmtId="1" fontId="23" fillId="26" borderId="0" xfId="0" applyNumberFormat="1" applyFont="1" applyFill="1" applyBorder="1"/>
    <xf numFmtId="4" fontId="23" fillId="0" borderId="5" xfId="0" applyNumberFormat="1" applyFont="1" applyBorder="1"/>
    <xf numFmtId="4" fontId="23" fillId="0" borderId="6" xfId="0" applyNumberFormat="1" applyFont="1" applyBorder="1"/>
    <xf numFmtId="0" fontId="46" fillId="3" borderId="0" xfId="0" applyFont="1" applyFill="1"/>
    <xf numFmtId="0" fontId="47" fillId="3" borderId="0" xfId="0" applyFont="1" applyFill="1"/>
    <xf numFmtId="0" fontId="47" fillId="0" borderId="0" xfId="0" applyFont="1"/>
    <xf numFmtId="3" fontId="47" fillId="0" borderId="0" xfId="0" applyNumberFormat="1" applyFont="1"/>
    <xf numFmtId="0" fontId="47" fillId="2" borderId="6" xfId="0" applyFont="1" applyFill="1" applyBorder="1"/>
    <xf numFmtId="3" fontId="47" fillId="2" borderId="6" xfId="0" applyNumberFormat="1" applyFont="1" applyFill="1" applyBorder="1"/>
    <xf numFmtId="0" fontId="47" fillId="0" borderId="1" xfId="0" applyFont="1" applyBorder="1"/>
    <xf numFmtId="3" fontId="47" fillId="0" borderId="2" xfId="0" applyNumberFormat="1" applyFont="1" applyBorder="1"/>
    <xf numFmtId="3" fontId="47" fillId="0" borderId="3" xfId="0" applyNumberFormat="1" applyFont="1" applyBorder="1"/>
    <xf numFmtId="0" fontId="47" fillId="0" borderId="4" xfId="0" applyFont="1" applyBorder="1"/>
    <xf numFmtId="14" fontId="48" fillId="0" borderId="0" xfId="0" applyNumberFormat="1" applyFont="1" applyBorder="1" applyAlignment="1">
      <alignment horizontal="right" vertical="top"/>
    </xf>
    <xf numFmtId="14" fontId="48" fillId="0" borderId="5" xfId="0" applyNumberFormat="1" applyFont="1" applyBorder="1" applyAlignment="1">
      <alignment horizontal="right" vertical="top"/>
    </xf>
    <xf numFmtId="0" fontId="48" fillId="4" borderId="4" xfId="0" applyFont="1" applyFill="1" applyBorder="1" applyAlignment="1">
      <alignment horizontal="left" vertical="top" wrapText="1"/>
    </xf>
    <xf numFmtId="164" fontId="47" fillId="4" borderId="0" xfId="0" applyNumberFormat="1" applyFont="1" applyFill="1" applyBorder="1" applyAlignment="1">
      <alignment horizontal="right" vertical="top"/>
    </xf>
    <xf numFmtId="164" fontId="47" fillId="4" borderId="5" xfId="0" applyNumberFormat="1" applyFont="1" applyFill="1" applyBorder="1" applyAlignment="1">
      <alignment horizontal="right" vertical="top"/>
    </xf>
    <xf numFmtId="0" fontId="47" fillId="3" borderId="4" xfId="0" applyFont="1" applyFill="1" applyBorder="1"/>
    <xf numFmtId="0" fontId="47" fillId="3" borderId="0" xfId="0" applyFont="1" applyFill="1" applyBorder="1"/>
    <xf numFmtId="0" fontId="47" fillId="3" borderId="5" xfId="0" applyFont="1" applyFill="1" applyBorder="1"/>
    <xf numFmtId="3" fontId="47" fillId="3" borderId="0" xfId="0" applyNumberFormat="1" applyFont="1" applyFill="1" applyBorder="1"/>
    <xf numFmtId="3" fontId="47" fillId="3" borderId="5" xfId="0" applyNumberFormat="1" applyFont="1" applyFill="1" applyBorder="1"/>
    <xf numFmtId="3" fontId="47" fillId="3" borderId="0" xfId="0" applyNumberFormat="1" applyFont="1" applyFill="1"/>
    <xf numFmtId="0" fontId="48" fillId="3" borderId="4" xfId="0" applyFont="1" applyFill="1" applyBorder="1"/>
    <xf numFmtId="43" fontId="47" fillId="3" borderId="0" xfId="1" applyFont="1" applyFill="1" applyBorder="1"/>
    <xf numFmtId="0" fontId="47" fillId="3" borderId="1" xfId="0" applyFont="1" applyFill="1" applyBorder="1"/>
    <xf numFmtId="0" fontId="47" fillId="3" borderId="3" xfId="0" applyFont="1" applyFill="1" applyBorder="1"/>
    <xf numFmtId="0" fontId="47" fillId="3" borderId="7" xfId="0" applyFont="1" applyFill="1" applyBorder="1"/>
    <xf numFmtId="43" fontId="47" fillId="3" borderId="9" xfId="1" applyFont="1" applyFill="1" applyBorder="1" applyAlignment="1">
      <alignment horizontal="center"/>
    </xf>
    <xf numFmtId="0" fontId="47" fillId="3" borderId="8" xfId="0" applyFont="1" applyFill="1" applyBorder="1"/>
    <xf numFmtId="0" fontId="47" fillId="3" borderId="9" xfId="0" applyFont="1" applyFill="1" applyBorder="1"/>
    <xf numFmtId="0" fontId="47" fillId="3" borderId="2" xfId="0" applyFont="1" applyFill="1" applyBorder="1"/>
    <xf numFmtId="14" fontId="47" fillId="3" borderId="5" xfId="0" applyNumberFormat="1" applyFont="1" applyFill="1" applyBorder="1"/>
    <xf numFmtId="165" fontId="47" fillId="3" borderId="0" xfId="0" applyNumberFormat="1" applyFont="1" applyFill="1" applyBorder="1"/>
    <xf numFmtId="165" fontId="47" fillId="3" borderId="5" xfId="0" applyNumberFormat="1" applyFont="1" applyFill="1" applyBorder="1"/>
    <xf numFmtId="10" fontId="47" fillId="0" borderId="0" xfId="0" applyNumberFormat="1" applyFont="1" applyBorder="1"/>
    <xf numFmtId="0" fontId="47" fillId="0" borderId="0" xfId="0" applyFont="1" applyBorder="1"/>
    <xf numFmtId="0" fontId="47" fillId="0" borderId="5" xfId="0" applyFont="1" applyBorder="1"/>
    <xf numFmtId="0" fontId="47" fillId="2" borderId="10" xfId="0" applyFont="1" applyFill="1" applyBorder="1"/>
    <xf numFmtId="8" fontId="47" fillId="2" borderId="11" xfId="0" applyNumberFormat="1" applyFont="1" applyFill="1" applyBorder="1"/>
    <xf numFmtId="0" fontId="47" fillId="0" borderId="8" xfId="0" applyFont="1" applyBorder="1"/>
    <xf numFmtId="0" fontId="47" fillId="0" borderId="9" xfId="0" applyFont="1" applyBorder="1"/>
    <xf numFmtId="166" fontId="50" fillId="4" borderId="1" xfId="4" applyNumberFormat="1" applyFont="1" applyBorder="1" applyAlignment="1">
      <alignment horizontal="center" vertical="center" wrapText="1"/>
    </xf>
    <xf numFmtId="14" fontId="50" fillId="4" borderId="15" xfId="4" applyFont="1" applyBorder="1">
      <alignment horizontal="center" vertical="center" wrapText="1"/>
    </xf>
    <xf numFmtId="14" fontId="50" fillId="4" borderId="16" xfId="4" applyFont="1" applyBorder="1">
      <alignment horizontal="center" vertical="center" wrapText="1"/>
    </xf>
    <xf numFmtId="4" fontId="47" fillId="0" borderId="2" xfId="0" applyNumberFormat="1" applyFont="1" applyBorder="1"/>
    <xf numFmtId="0" fontId="47" fillId="0" borderId="2" xfId="0" applyFont="1" applyBorder="1"/>
    <xf numFmtId="0" fontId="47" fillId="0" borderId="3" xfId="0" applyFont="1" applyBorder="1"/>
    <xf numFmtId="4" fontId="47" fillId="0" borderId="0" xfId="0" applyNumberFormat="1" applyFont="1" applyBorder="1"/>
    <xf numFmtId="166" fontId="52" fillId="0" borderId="4" xfId="0" applyNumberFormat="1" applyFont="1" applyBorder="1" applyAlignment="1"/>
    <xf numFmtId="4" fontId="52" fillId="0" borderId="0" xfId="5" applyFont="1" applyBorder="1" applyAlignment="1">
      <alignment horizontal="center"/>
    </xf>
    <xf numFmtId="4" fontId="52" fillId="0" borderId="17" xfId="5" applyFont="1" applyBorder="1" applyAlignment="1">
      <alignment horizontal="center"/>
    </xf>
    <xf numFmtId="4" fontId="52" fillId="0" borderId="5" xfId="5" applyFont="1" applyBorder="1" applyAlignment="1">
      <alignment horizontal="center"/>
    </xf>
    <xf numFmtId="0" fontId="47" fillId="0" borderId="7" xfId="0" applyFont="1" applyBorder="1"/>
    <xf numFmtId="4" fontId="47" fillId="0" borderId="8" xfId="0" applyNumberFormat="1" applyFont="1" applyBorder="1"/>
    <xf numFmtId="0" fontId="47" fillId="0" borderId="0" xfId="0" applyFont="1" applyAlignment="1">
      <alignment horizontal="center"/>
    </xf>
    <xf numFmtId="10" fontId="47" fillId="0" borderId="0" xfId="2" applyNumberFormat="1" applyFont="1" applyAlignment="1">
      <alignment horizontal="center"/>
    </xf>
    <xf numFmtId="10" fontId="47" fillId="0" borderId="6" xfId="2" applyNumberFormat="1" applyFont="1" applyBorder="1" applyAlignment="1">
      <alignment horizontal="center"/>
    </xf>
    <xf numFmtId="0" fontId="48" fillId="0" borderId="0" xfId="0" applyFont="1"/>
    <xf numFmtId="3" fontId="47" fillId="0" borderId="2" xfId="0" applyNumberFormat="1" applyFont="1" applyBorder="1" applyAlignment="1">
      <alignment horizontal="center"/>
    </xf>
    <xf numFmtId="3" fontId="47" fillId="0" borderId="3" xfId="0" applyNumberFormat="1" applyFont="1" applyBorder="1" applyAlignment="1">
      <alignment horizontal="center"/>
    </xf>
    <xf numFmtId="3" fontId="47" fillId="0" borderId="0" xfId="0" applyNumberFormat="1" applyFont="1" applyAlignment="1">
      <alignment horizontal="center"/>
    </xf>
    <xf numFmtId="3" fontId="47" fillId="0" borderId="0" xfId="0" applyNumberFormat="1" applyFont="1" applyBorder="1"/>
    <xf numFmtId="3" fontId="47" fillId="0" borderId="5" xfId="0" applyNumberFormat="1" applyFont="1" applyBorder="1"/>
    <xf numFmtId="3" fontId="47" fillId="0" borderId="8" xfId="0" applyNumberFormat="1" applyFont="1" applyBorder="1"/>
    <xf numFmtId="3" fontId="47" fillId="0" borderId="9" xfId="0" applyNumberFormat="1" applyFont="1" applyBorder="1"/>
    <xf numFmtId="14" fontId="48" fillId="0" borderId="0" xfId="0" applyNumberFormat="1" applyFont="1" applyAlignment="1">
      <alignment horizontal="right" vertical="top"/>
    </xf>
    <xf numFmtId="0" fontId="48" fillId="4" borderId="0" xfId="0" applyFont="1" applyFill="1" applyAlignment="1">
      <alignment horizontal="left" vertical="top" wrapText="1"/>
    </xf>
    <xf numFmtId="164" fontId="47" fillId="4" borderId="0" xfId="0" applyNumberFormat="1" applyFont="1" applyFill="1" applyAlignment="1">
      <alignment horizontal="right" vertical="top"/>
    </xf>
    <xf numFmtId="0" fontId="48" fillId="3" borderId="0" xfId="0" applyFont="1" applyFill="1"/>
    <xf numFmtId="43" fontId="47" fillId="3" borderId="0" xfId="1" applyFont="1" applyFill="1"/>
    <xf numFmtId="14" fontId="47" fillId="3" borderId="0" xfId="0" applyNumberFormat="1" applyFont="1" applyFill="1"/>
    <xf numFmtId="165" fontId="47" fillId="3" borderId="0" xfId="0" applyNumberFormat="1" applyFont="1" applyFill="1"/>
    <xf numFmtId="10" fontId="47" fillId="0" borderId="0" xfId="0" applyNumberFormat="1" applyFont="1"/>
    <xf numFmtId="0" fontId="47" fillId="5" borderId="10" xfId="0" applyFont="1" applyFill="1" applyBorder="1"/>
    <xf numFmtId="8" fontId="47" fillId="5" borderId="11" xfId="0" applyNumberFormat="1" applyFont="1" applyFill="1" applyBorder="1"/>
    <xf numFmtId="0" fontId="47" fillId="0" borderId="19" xfId="0" applyFont="1" applyBorder="1"/>
    <xf numFmtId="0" fontId="47" fillId="0" borderId="20" xfId="0" applyFont="1" applyBorder="1"/>
    <xf numFmtId="0" fontId="47" fillId="2" borderId="13" xfId="0" applyFont="1" applyFill="1" applyBorder="1"/>
    <xf numFmtId="3" fontId="47" fillId="2" borderId="11" xfId="0" applyNumberFormat="1" applyFont="1" applyFill="1" applyBorder="1"/>
    <xf numFmtId="164" fontId="47" fillId="0" borderId="0" xfId="0" applyNumberFormat="1" applyFont="1"/>
    <xf numFmtId="0" fontId="53" fillId="0" borderId="0" xfId="0" applyFont="1"/>
    <xf numFmtId="0" fontId="55" fillId="0" borderId="18" xfId="0" applyFont="1" applyBorder="1"/>
    <xf numFmtId="0" fontId="42" fillId="15" borderId="1" xfId="0" applyFont="1" applyFill="1" applyBorder="1"/>
    <xf numFmtId="1" fontId="42" fillId="15" borderId="2" xfId="0" applyNumberFormat="1" applyFont="1" applyFill="1" applyBorder="1" applyAlignment="1">
      <alignment horizontal="center"/>
    </xf>
    <xf numFmtId="0" fontId="42" fillId="15" borderId="0" xfId="0" applyFont="1" applyFill="1" applyBorder="1"/>
    <xf numFmtId="0" fontId="27" fillId="2" borderId="0" xfId="0" applyFont="1" applyFill="1" applyBorder="1"/>
    <xf numFmtId="3" fontId="23" fillId="7" borderId="0" xfId="0" applyNumberFormat="1" applyFont="1" applyFill="1" applyBorder="1"/>
    <xf numFmtId="0" fontId="56" fillId="3" borderId="0" xfId="0" applyFont="1" applyFill="1"/>
    <xf numFmtId="0" fontId="56" fillId="0" borderId="0" xfId="0" applyFont="1"/>
    <xf numFmtId="0" fontId="57" fillId="0" borderId="1" xfId="0" applyFont="1" applyBorder="1" applyAlignment="1">
      <alignment horizontal="left" vertical="top" wrapText="1"/>
    </xf>
    <xf numFmtId="0" fontId="56" fillId="3" borderId="2" xfId="0" applyFont="1" applyFill="1" applyBorder="1" applyAlignment="1">
      <alignment horizontal="center"/>
    </xf>
    <xf numFmtId="0" fontId="46" fillId="3" borderId="3" xfId="0" applyFont="1" applyFill="1" applyBorder="1"/>
    <xf numFmtId="0" fontId="57" fillId="0" borderId="4" xfId="0" applyFont="1" applyBorder="1" applyAlignment="1">
      <alignment horizontal="left" vertical="top" wrapText="1"/>
    </xf>
    <xf numFmtId="0" fontId="56" fillId="3" borderId="0" xfId="0" applyFont="1" applyFill="1" applyBorder="1" applyAlignment="1">
      <alignment horizontal="center"/>
    </xf>
    <xf numFmtId="0" fontId="56" fillId="3" borderId="5" xfId="0" applyFont="1" applyFill="1" applyBorder="1"/>
    <xf numFmtId="0" fontId="46" fillId="4" borderId="4" xfId="0" applyFont="1" applyFill="1" applyBorder="1" applyAlignment="1">
      <alignment horizontal="left" vertical="top" wrapText="1"/>
    </xf>
    <xf numFmtId="3" fontId="56" fillId="3" borderId="0" xfId="0" applyNumberFormat="1" applyFont="1" applyFill="1" applyBorder="1"/>
    <xf numFmtId="3" fontId="56" fillId="3" borderId="5" xfId="0" applyNumberFormat="1" applyFont="1" applyFill="1" applyBorder="1"/>
    <xf numFmtId="0" fontId="46" fillId="0" borderId="4" xfId="0" applyFont="1" applyBorder="1" applyAlignment="1">
      <alignment horizontal="left" vertical="top" wrapText="1"/>
    </xf>
    <xf numFmtId="0" fontId="46" fillId="4" borderId="7" xfId="0" applyFont="1" applyFill="1" applyBorder="1" applyAlignment="1">
      <alignment horizontal="left" vertical="top" wrapText="1"/>
    </xf>
    <xf numFmtId="3" fontId="56" fillId="4" borderId="8" xfId="0" applyNumberFormat="1" applyFont="1" applyFill="1" applyBorder="1" applyAlignment="1">
      <alignment horizontal="right" vertical="top" wrapText="1"/>
    </xf>
    <xf numFmtId="3" fontId="56" fillId="4" borderId="9" xfId="0" applyNumberFormat="1" applyFont="1" applyFill="1" applyBorder="1" applyAlignment="1">
      <alignment horizontal="right" vertical="top" wrapText="1"/>
    </xf>
    <xf numFmtId="172" fontId="56" fillId="3" borderId="0" xfId="0" applyNumberFormat="1" applyFont="1" applyFill="1" applyBorder="1"/>
    <xf numFmtId="172" fontId="56" fillId="3" borderId="5" xfId="0" applyNumberFormat="1" applyFont="1" applyFill="1" applyBorder="1"/>
    <xf numFmtId="172" fontId="56" fillId="4" borderId="0" xfId="0" applyNumberFormat="1" applyFont="1" applyFill="1" applyBorder="1" applyAlignment="1">
      <alignment horizontal="right" vertical="top" wrapText="1"/>
    </xf>
    <xf numFmtId="172" fontId="56" fillId="4" borderId="5" xfId="0" applyNumberFormat="1" applyFont="1" applyFill="1" applyBorder="1" applyAlignment="1">
      <alignment horizontal="right" vertical="top" wrapText="1"/>
    </xf>
    <xf numFmtId="4" fontId="56" fillId="3" borderId="7" xfId="0" applyNumberFormat="1" applyFont="1" applyFill="1" applyBorder="1"/>
    <xf numFmtId="4" fontId="56" fillId="3" borderId="8" xfId="0" applyNumberFormat="1" applyFont="1" applyFill="1" applyBorder="1"/>
    <xf numFmtId="4" fontId="56" fillId="3" borderId="9" xfId="0" applyNumberFormat="1" applyFont="1" applyFill="1" applyBorder="1"/>
    <xf numFmtId="0" fontId="56" fillId="3" borderId="10" xfId="0" applyFont="1" applyFill="1" applyBorder="1"/>
    <xf numFmtId="3" fontId="56" fillId="3" borderId="13" xfId="0" applyNumberFormat="1" applyFont="1" applyFill="1" applyBorder="1"/>
    <xf numFmtId="3" fontId="56" fillId="3" borderId="11" xfId="0" applyNumberFormat="1" applyFont="1" applyFill="1" applyBorder="1"/>
    <xf numFmtId="0" fontId="56" fillId="3" borderId="13" xfId="0" applyFont="1" applyFill="1" applyBorder="1"/>
    <xf numFmtId="3" fontId="56" fillId="3" borderId="0" xfId="0" applyNumberFormat="1" applyFont="1" applyFill="1"/>
    <xf numFmtId="0" fontId="44" fillId="15" borderId="1" xfId="0" applyFont="1" applyFill="1" applyBorder="1"/>
    <xf numFmtId="1" fontId="44" fillId="15" borderId="2" xfId="0" applyNumberFormat="1" applyFont="1" applyFill="1" applyBorder="1" applyAlignment="1">
      <alignment horizontal="center"/>
    </xf>
    <xf numFmtId="9" fontId="56" fillId="3" borderId="0" xfId="0" applyNumberFormat="1" applyFont="1" applyFill="1"/>
    <xf numFmtId="0" fontId="44" fillId="15" borderId="0" xfId="0" applyFont="1" applyFill="1" applyBorder="1"/>
    <xf numFmtId="3" fontId="32" fillId="0" borderId="0" xfId="0" applyNumberFormat="1" applyFont="1" applyBorder="1"/>
    <xf numFmtId="9" fontId="32" fillId="0" borderId="0" xfId="2" applyFont="1" applyBorder="1"/>
    <xf numFmtId="0" fontId="32" fillId="2" borderId="0" xfId="0" applyFont="1" applyFill="1" applyBorder="1"/>
    <xf numFmtId="3" fontId="32" fillId="2" borderId="0" xfId="0" applyNumberFormat="1" applyFont="1" applyFill="1" applyBorder="1"/>
    <xf numFmtId="3" fontId="32" fillId="2" borderId="0" xfId="2" applyNumberFormat="1" applyFont="1" applyFill="1" applyBorder="1"/>
    <xf numFmtId="3" fontId="44" fillId="15" borderId="0" xfId="0" applyNumberFormat="1" applyFont="1" applyFill="1" applyBorder="1"/>
    <xf numFmtId="0" fontId="34" fillId="7" borderId="0" xfId="0" applyFont="1" applyFill="1" applyBorder="1"/>
    <xf numFmtId="3" fontId="34" fillId="7" borderId="0" xfId="0" applyNumberFormat="1" applyFont="1" applyFill="1" applyBorder="1"/>
    <xf numFmtId="169" fontId="32" fillId="0" borderId="0" xfId="0" applyNumberFormat="1" applyFont="1" applyBorder="1"/>
    <xf numFmtId="10" fontId="44" fillId="15" borderId="0" xfId="2" applyNumberFormat="1" applyFont="1" applyFill="1" applyBorder="1"/>
    <xf numFmtId="0" fontId="44" fillId="16" borderId="1" xfId="0" applyFont="1" applyFill="1" applyBorder="1"/>
    <xf numFmtId="6" fontId="44" fillId="16" borderId="3" xfId="0" applyNumberFormat="1" applyFont="1" applyFill="1" applyBorder="1"/>
    <xf numFmtId="0" fontId="44" fillId="16" borderId="4" xfId="0" applyFont="1" applyFill="1" applyBorder="1"/>
    <xf numFmtId="6" fontId="44" fillId="16" borderId="5" xfId="0" applyNumberFormat="1" applyFont="1" applyFill="1" applyBorder="1"/>
    <xf numFmtId="0" fontId="44" fillId="16" borderId="7" xfId="0" applyFont="1" applyFill="1" applyBorder="1"/>
    <xf numFmtId="6" fontId="44" fillId="16" borderId="9" xfId="0" applyNumberFormat="1" applyFont="1" applyFill="1" applyBorder="1"/>
    <xf numFmtId="6" fontId="32" fillId="0" borderId="0" xfId="0" applyNumberFormat="1" applyFont="1"/>
    <xf numFmtId="49" fontId="58" fillId="4" borderId="26" xfId="4" applyNumberFormat="1" applyFont="1" applyBorder="1" applyAlignment="1">
      <alignment horizontal="center" vertical="center" wrapText="1"/>
    </xf>
    <xf numFmtId="14" fontId="58" fillId="4" borderId="45" xfId="4" applyFont="1" applyBorder="1">
      <alignment horizontal="center" vertical="center" wrapText="1"/>
    </xf>
    <xf numFmtId="14" fontId="58" fillId="4" borderId="46" xfId="4" applyFont="1" applyBorder="1">
      <alignment horizontal="center" vertical="center" wrapText="1"/>
    </xf>
    <xf numFmtId="10" fontId="56" fillId="3" borderId="0" xfId="2" applyNumberFormat="1" applyFont="1" applyFill="1"/>
    <xf numFmtId="0" fontId="56" fillId="3" borderId="2" xfId="0" applyFont="1" applyFill="1" applyBorder="1" applyAlignment="1">
      <alignment horizontal="center" vertical="top"/>
    </xf>
    <xf numFmtId="4" fontId="56" fillId="3" borderId="10" xfId="0" applyNumberFormat="1" applyFont="1" applyFill="1" applyBorder="1"/>
    <xf numFmtId="9" fontId="56" fillId="3" borderId="13" xfId="2" applyFont="1" applyFill="1" applyBorder="1"/>
    <xf numFmtId="0" fontId="46" fillId="0" borderId="7" xfId="0" applyFont="1" applyBorder="1" applyAlignment="1">
      <alignment horizontal="left" vertical="top" wrapText="1"/>
    </xf>
    <xf numFmtId="0" fontId="32" fillId="0" borderId="1" xfId="0" applyFont="1" applyBorder="1"/>
    <xf numFmtId="0" fontId="56" fillId="0" borderId="2" xfId="0" applyFont="1" applyBorder="1" applyAlignment="1">
      <alignment horizontal="center"/>
    </xf>
    <xf numFmtId="0" fontId="56" fillId="0" borderId="2" xfId="0" applyFont="1" applyBorder="1"/>
    <xf numFmtId="0" fontId="56" fillId="0" borderId="3" xfId="0" applyFont="1" applyBorder="1" applyAlignment="1">
      <alignment horizontal="center"/>
    </xf>
    <xf numFmtId="164" fontId="32" fillId="0" borderId="8" xfId="0" applyNumberFormat="1" applyFont="1" applyBorder="1"/>
    <xf numFmtId="164" fontId="32" fillId="13" borderId="6" xfId="0" applyNumberFormat="1" applyFont="1" applyFill="1" applyBorder="1"/>
    <xf numFmtId="3" fontId="32" fillId="0" borderId="8" xfId="0" applyNumberFormat="1" applyFont="1" applyBorder="1"/>
    <xf numFmtId="164" fontId="32" fillId="0" borderId="9" xfId="0" applyNumberFormat="1" applyFont="1" applyBorder="1"/>
    <xf numFmtId="1" fontId="44" fillId="15" borderId="3" xfId="0" applyNumberFormat="1" applyFont="1" applyFill="1" applyBorder="1" applyAlignment="1">
      <alignment horizontal="center"/>
    </xf>
    <xf numFmtId="0" fontId="56" fillId="3" borderId="4" xfId="0" applyFont="1" applyFill="1" applyBorder="1"/>
    <xf numFmtId="9" fontId="56" fillId="3" borderId="0" xfId="0" applyNumberFormat="1" applyFont="1" applyFill="1" applyBorder="1"/>
    <xf numFmtId="9" fontId="56" fillId="3" borderId="5" xfId="0" applyNumberFormat="1" applyFont="1" applyFill="1" applyBorder="1"/>
    <xf numFmtId="169" fontId="32" fillId="3" borderId="0" xfId="2" applyNumberFormat="1" applyFont="1" applyFill="1" applyBorder="1"/>
    <xf numFmtId="169" fontId="32" fillId="3" borderId="5" xfId="2" applyNumberFormat="1" applyFont="1" applyFill="1" applyBorder="1"/>
    <xf numFmtId="0" fontId="56" fillId="3" borderId="0" xfId="0" applyFont="1" applyFill="1" applyBorder="1"/>
    <xf numFmtId="0" fontId="44" fillId="15" borderId="4" xfId="0" applyFont="1" applyFill="1" applyBorder="1"/>
    <xf numFmtId="3" fontId="32" fillId="0" borderId="5" xfId="0" applyNumberFormat="1" applyFont="1" applyBorder="1"/>
    <xf numFmtId="3" fontId="32" fillId="0" borderId="5" xfId="2" applyNumberFormat="1" applyFont="1" applyBorder="1"/>
    <xf numFmtId="0" fontId="32" fillId="2" borderId="4" xfId="0" applyFont="1" applyFill="1" applyBorder="1"/>
    <xf numFmtId="3" fontId="32" fillId="2" borderId="5" xfId="0" applyNumberFormat="1" applyFont="1" applyFill="1" applyBorder="1"/>
    <xf numFmtId="9" fontId="32" fillId="0" borderId="5" xfId="2" applyFont="1" applyBorder="1"/>
    <xf numFmtId="3" fontId="32" fillId="2" borderId="5" xfId="2" applyNumberFormat="1" applyFont="1" applyFill="1" applyBorder="1"/>
    <xf numFmtId="3" fontId="44" fillId="15" borderId="5" xfId="0" applyNumberFormat="1" applyFont="1" applyFill="1" applyBorder="1"/>
    <xf numFmtId="0" fontId="34" fillId="7" borderId="4" xfId="0" applyFont="1" applyFill="1" applyBorder="1"/>
    <xf numFmtId="3" fontId="34" fillId="7" borderId="5" xfId="0" applyNumberFormat="1" applyFont="1" applyFill="1" applyBorder="1"/>
    <xf numFmtId="169" fontId="32" fillId="0" borderId="5" xfId="0" applyNumberFormat="1" applyFont="1" applyBorder="1"/>
    <xf numFmtId="0" fontId="44" fillId="15" borderId="7" xfId="0" applyFont="1" applyFill="1" applyBorder="1"/>
    <xf numFmtId="10" fontId="44" fillId="15" borderId="8" xfId="2" applyNumberFormat="1" applyFont="1" applyFill="1" applyBorder="1"/>
    <xf numFmtId="10" fontId="44" fillId="15" borderId="9" xfId="2" applyNumberFormat="1" applyFont="1" applyFill="1" applyBorder="1"/>
    <xf numFmtId="0" fontId="32" fillId="0" borderId="10" xfId="0" applyFont="1" applyBorder="1"/>
    <xf numFmtId="6" fontId="32" fillId="0" borderId="11" xfId="0" applyNumberFormat="1" applyFont="1" applyBorder="1"/>
    <xf numFmtId="6" fontId="32" fillId="0" borderId="0" xfId="0" applyNumberFormat="1" applyFont="1" applyBorder="1"/>
    <xf numFmtId="3" fontId="32" fillId="0" borderId="0" xfId="0" applyNumberFormat="1" applyFont="1"/>
    <xf numFmtId="0" fontId="31" fillId="0" borderId="0" xfId="0" applyFont="1" applyFill="1" applyBorder="1"/>
    <xf numFmtId="0" fontId="56" fillId="0" borderId="0" xfId="0" applyFont="1" applyFill="1" applyBorder="1"/>
    <xf numFmtId="3" fontId="56" fillId="0" borderId="0" xfId="0" applyNumberFormat="1" applyFont="1"/>
    <xf numFmtId="0" fontId="56" fillId="0" borderId="0" xfId="0" applyFont="1" applyBorder="1" applyAlignment="1">
      <alignment horizontal="center"/>
    </xf>
    <xf numFmtId="0" fontId="56" fillId="0" borderId="5" xfId="0" applyFont="1" applyBorder="1"/>
    <xf numFmtId="9" fontId="56" fillId="0" borderId="0" xfId="0" applyNumberFormat="1" applyFont="1" applyBorder="1" applyAlignment="1">
      <alignment horizontal="center"/>
    </xf>
    <xf numFmtId="9" fontId="56" fillId="0" borderId="0" xfId="2" applyFont="1" applyBorder="1" applyAlignment="1">
      <alignment horizontal="center"/>
    </xf>
    <xf numFmtId="0" fontId="56" fillId="0" borderId="4" xfId="0" applyFont="1" applyBorder="1"/>
    <xf numFmtId="3" fontId="32" fillId="0" borderId="9" xfId="0" applyNumberFormat="1" applyFont="1" applyBorder="1"/>
    <xf numFmtId="0" fontId="56" fillId="0" borderId="0" xfId="0" applyFont="1" applyBorder="1"/>
    <xf numFmtId="9" fontId="23" fillId="3" borderId="0" xfId="0" applyNumberFormat="1" applyFont="1" applyFill="1"/>
    <xf numFmtId="0" fontId="23" fillId="15" borderId="0" xfId="0" applyFont="1" applyFill="1" applyBorder="1"/>
    <xf numFmtId="3" fontId="23" fillId="0" borderId="0" xfId="0" applyNumberFormat="1" applyFont="1" applyBorder="1"/>
    <xf numFmtId="3" fontId="23" fillId="2" borderId="0" xfId="0" applyNumberFormat="1" applyFont="1" applyFill="1" applyBorder="1"/>
    <xf numFmtId="3" fontId="23" fillId="15" borderId="0" xfId="0" applyNumberFormat="1" applyFont="1" applyFill="1" applyBorder="1"/>
    <xf numFmtId="10" fontId="23" fillId="0" borderId="0" xfId="2" applyNumberFormat="1" applyFont="1" applyBorder="1"/>
    <xf numFmtId="169" fontId="23" fillId="0" borderId="0" xfId="0" applyNumberFormat="1" applyFont="1" applyBorder="1"/>
    <xf numFmtId="10" fontId="23" fillId="15" borderId="0" xfId="2" applyNumberFormat="1" applyFont="1" applyFill="1" applyBorder="1"/>
    <xf numFmtId="6" fontId="34" fillId="0" borderId="47" xfId="0" applyNumberFormat="1" applyFont="1" applyBorder="1" applyAlignment="1">
      <alignment horizontal="right" vertical="top" wrapText="1"/>
    </xf>
    <xf numFmtId="0" fontId="34" fillId="0" borderId="47" xfId="0" applyFont="1" applyBorder="1" applyAlignment="1">
      <alignment horizontal="right" vertical="top" wrapText="1"/>
    </xf>
    <xf numFmtId="0" fontId="54" fillId="0" borderId="0" xfId="0" applyFont="1" applyAlignment="1">
      <alignment horizontal="left" vertical="top" wrapText="1"/>
    </xf>
    <xf numFmtId="0" fontId="58" fillId="0" borderId="0" xfId="0" applyFont="1" applyAlignment="1">
      <alignment horizontal="right" vertical="top" wrapText="1"/>
    </xf>
    <xf numFmtId="0" fontId="34" fillId="0" borderId="0" xfId="0" applyFont="1" applyAlignment="1">
      <alignment wrapText="1"/>
    </xf>
    <xf numFmtId="0" fontId="58" fillId="0" borderId="0" xfId="0" applyFont="1" applyAlignment="1">
      <alignment horizontal="left" vertical="top" wrapText="1"/>
    </xf>
    <xf numFmtId="164" fontId="34" fillId="0" borderId="0" xfId="0" applyNumberFormat="1" applyFont="1" applyAlignment="1">
      <alignment horizontal="right" vertical="top" wrapText="1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horizontal="right" vertical="top" wrapText="1"/>
    </xf>
    <xf numFmtId="1" fontId="34" fillId="0" borderId="0" xfId="0" applyNumberFormat="1" applyFont="1" applyAlignment="1">
      <alignment horizontal="right" vertical="top" wrapText="1"/>
    </xf>
    <xf numFmtId="0" fontId="58" fillId="2" borderId="0" xfId="0" applyFont="1" applyFill="1" applyAlignment="1">
      <alignment horizontal="left" vertical="top" wrapText="1"/>
    </xf>
    <xf numFmtId="164" fontId="34" fillId="2" borderId="0" xfId="0" applyNumberFormat="1" applyFont="1" applyFill="1" applyAlignment="1">
      <alignment horizontal="right" vertical="top" wrapText="1"/>
    </xf>
    <xf numFmtId="0" fontId="58" fillId="0" borderId="10" xfId="0" applyFont="1" applyBorder="1" applyAlignment="1">
      <alignment horizontal="left" vertical="top" wrapText="1"/>
    </xf>
    <xf numFmtId="164" fontId="34" fillId="0" borderId="13" xfId="0" applyNumberFormat="1" applyFont="1" applyBorder="1" applyAlignment="1">
      <alignment horizontal="right" vertical="top" wrapText="1"/>
    </xf>
    <xf numFmtId="164" fontId="34" fillId="0" borderId="11" xfId="0" applyNumberFormat="1" applyFont="1" applyBorder="1" applyAlignment="1">
      <alignment horizontal="right" vertical="top" wrapText="1"/>
    </xf>
    <xf numFmtId="164" fontId="34" fillId="0" borderId="0" xfId="0" applyNumberFormat="1" applyFont="1" applyAlignment="1">
      <alignment wrapText="1"/>
    </xf>
    <xf numFmtId="169" fontId="34" fillId="0" borderId="0" xfId="2" applyNumberFormat="1" applyFont="1" applyAlignment="1">
      <alignment wrapText="1"/>
    </xf>
    <xf numFmtId="0" fontId="34" fillId="0" borderId="1" xfId="0" applyFont="1" applyBorder="1" applyAlignment="1">
      <alignment wrapText="1"/>
    </xf>
    <xf numFmtId="0" fontId="34" fillId="0" borderId="2" xfId="0" applyFont="1" applyBorder="1" applyAlignment="1">
      <alignment wrapText="1"/>
    </xf>
    <xf numFmtId="0" fontId="34" fillId="0" borderId="3" xfId="0" applyFont="1" applyBorder="1" applyAlignment="1">
      <alignment wrapText="1"/>
    </xf>
    <xf numFmtId="0" fontId="34" fillId="0" borderId="7" xfId="0" applyFont="1" applyBorder="1" applyAlignment="1">
      <alignment wrapText="1"/>
    </xf>
    <xf numFmtId="164" fontId="34" fillId="0" borderId="8" xfId="0" applyNumberFormat="1" applyFont="1" applyBorder="1" applyAlignment="1">
      <alignment wrapText="1"/>
    </xf>
    <xf numFmtId="1" fontId="34" fillId="0" borderId="8" xfId="0" applyNumberFormat="1" applyFont="1" applyBorder="1" applyAlignment="1">
      <alignment wrapText="1"/>
    </xf>
    <xf numFmtId="0" fontId="34" fillId="0" borderId="8" xfId="0" applyFont="1" applyBorder="1" applyAlignment="1">
      <alignment wrapText="1"/>
    </xf>
    <xf numFmtId="0" fontId="34" fillId="0" borderId="9" xfId="0" applyFont="1" applyBorder="1" applyAlignment="1">
      <alignment wrapText="1"/>
    </xf>
    <xf numFmtId="2" fontId="58" fillId="0" borderId="0" xfId="0" applyNumberFormat="1" applyFont="1" applyAlignment="1"/>
    <xf numFmtId="0" fontId="34" fillId="15" borderId="1" xfId="0" applyFont="1" applyFill="1" applyBorder="1"/>
    <xf numFmtId="1" fontId="34" fillId="15" borderId="2" xfId="0" applyNumberFormat="1" applyFont="1" applyFill="1" applyBorder="1" applyAlignment="1">
      <alignment horizontal="center"/>
    </xf>
    <xf numFmtId="0" fontId="34" fillId="3" borderId="0" xfId="0" applyFont="1" applyFill="1"/>
    <xf numFmtId="9" fontId="34" fillId="3" borderId="0" xfId="0" applyNumberFormat="1" applyFont="1" applyFill="1"/>
    <xf numFmtId="0" fontId="34" fillId="15" borderId="0" xfId="0" applyFont="1" applyFill="1" applyBorder="1"/>
    <xf numFmtId="0" fontId="34" fillId="0" borderId="0" xfId="0" applyFont="1" applyBorder="1"/>
    <xf numFmtId="3" fontId="34" fillId="0" borderId="0" xfId="0" applyNumberFormat="1" applyFont="1" applyBorder="1"/>
    <xf numFmtId="0" fontId="34" fillId="2" borderId="0" xfId="0" applyFont="1" applyFill="1" applyBorder="1"/>
    <xf numFmtId="3" fontId="34" fillId="2" borderId="0" xfId="0" applyNumberFormat="1" applyFont="1" applyFill="1" applyBorder="1"/>
    <xf numFmtId="3" fontId="34" fillId="15" borderId="0" xfId="0" applyNumberFormat="1" applyFont="1" applyFill="1" applyBorder="1"/>
    <xf numFmtId="0" fontId="34" fillId="0" borderId="0" xfId="0" applyFont="1"/>
    <xf numFmtId="10" fontId="34" fillId="0" borderId="0" xfId="2" applyNumberFormat="1" applyFont="1" applyBorder="1"/>
    <xf numFmtId="169" fontId="34" fillId="0" borderId="0" xfId="0" applyNumberFormat="1" applyFont="1" applyBorder="1"/>
    <xf numFmtId="9" fontId="34" fillId="0" borderId="0" xfId="2" applyNumberFormat="1" applyFont="1" applyBorder="1"/>
    <xf numFmtId="10" fontId="34" fillId="15" borderId="0" xfId="2" applyNumberFormat="1" applyFont="1" applyFill="1" applyBorder="1"/>
    <xf numFmtId="8" fontId="34" fillId="0" borderId="0" xfId="0" applyNumberFormat="1" applyFont="1"/>
    <xf numFmtId="0" fontId="58" fillId="0" borderId="0" xfId="0" applyFont="1"/>
    <xf numFmtId="0" fontId="34" fillId="0" borderId="47" xfId="0" applyFont="1" applyBorder="1" applyAlignment="1">
      <alignment wrapText="1"/>
    </xf>
    <xf numFmtId="0" fontId="34" fillId="0" borderId="12" xfId="0" applyFont="1" applyBorder="1"/>
    <xf numFmtId="6" fontId="34" fillId="0" borderId="22" xfId="0" applyNumberFormat="1" applyFont="1" applyBorder="1"/>
    <xf numFmtId="0" fontId="34" fillId="0" borderId="22" xfId="0" applyFont="1" applyBorder="1"/>
    <xf numFmtId="6" fontId="34" fillId="0" borderId="48" xfId="0" applyNumberFormat="1" applyFont="1" applyBorder="1" applyAlignment="1">
      <alignment horizontal="right" vertical="top" wrapText="1"/>
    </xf>
    <xf numFmtId="0" fontId="34" fillId="4" borderId="10" xfId="0" applyFont="1" applyFill="1" applyBorder="1"/>
    <xf numFmtId="0" fontId="34" fillId="4" borderId="13" xfId="0" applyFont="1" applyFill="1" applyBorder="1"/>
    <xf numFmtId="6" fontId="34" fillId="4" borderId="13" xfId="0" applyNumberFormat="1" applyFont="1" applyFill="1" applyBorder="1"/>
    <xf numFmtId="3" fontId="34" fillId="4" borderId="11" xfId="0" applyNumberFormat="1" applyFont="1" applyFill="1" applyBorder="1"/>
    <xf numFmtId="9" fontId="34" fillId="3" borderId="0" xfId="2" applyFont="1" applyFill="1"/>
    <xf numFmtId="0" fontId="54" fillId="0" borderId="0" xfId="0" applyFont="1"/>
    <xf numFmtId="0" fontId="54" fillId="0" borderId="0" xfId="0" applyFont="1" applyAlignment="1">
      <alignment wrapText="1"/>
    </xf>
    <xf numFmtId="0" fontId="54" fillId="0" borderId="56" xfId="0" applyFont="1" applyBorder="1" applyAlignment="1">
      <alignment horizontal="left" wrapText="1"/>
    </xf>
    <xf numFmtId="0" fontId="54" fillId="0" borderId="57" xfId="0" applyFont="1" applyBorder="1" applyAlignment="1">
      <alignment wrapText="1"/>
    </xf>
    <xf numFmtId="6" fontId="54" fillId="0" borderId="12" xfId="0" applyNumberFormat="1" applyFont="1" applyBorder="1"/>
    <xf numFmtId="0" fontId="54" fillId="0" borderId="12" xfId="0" applyFont="1" applyBorder="1"/>
    <xf numFmtId="0" fontId="34" fillId="0" borderId="58" xfId="0" applyFont="1" applyBorder="1" applyAlignment="1">
      <alignment horizontal="left" wrapText="1"/>
    </xf>
    <xf numFmtId="0" fontId="34" fillId="0" borderId="58" xfId="0" applyFont="1" applyBorder="1" applyAlignment="1">
      <alignment horizontal="left" vertical="top" wrapText="1"/>
    </xf>
    <xf numFmtId="0" fontId="34" fillId="0" borderId="58" xfId="0" applyFont="1" applyBorder="1" applyAlignment="1">
      <alignment horizontal="justify" vertical="top" wrapText="1"/>
    </xf>
    <xf numFmtId="0" fontId="34" fillId="0" borderId="59" xfId="0" applyFont="1" applyBorder="1" applyAlignment="1">
      <alignment horizontal="justify" vertical="top" wrapText="1"/>
    </xf>
    <xf numFmtId="0" fontId="54" fillId="0" borderId="58" xfId="0" applyFont="1" applyBorder="1" applyAlignment="1">
      <alignment horizontal="left" wrapText="1"/>
    </xf>
    <xf numFmtId="6" fontId="34" fillId="26" borderId="12" xfId="0" applyNumberFormat="1" applyFont="1" applyFill="1" applyBorder="1"/>
    <xf numFmtId="8" fontId="34" fillId="26" borderId="0" xfId="0" applyNumberFormat="1" applyFont="1" applyFill="1"/>
    <xf numFmtId="3" fontId="23" fillId="0" borderId="0" xfId="0" applyNumberFormat="1" applyFont="1"/>
    <xf numFmtId="0" fontId="23" fillId="0" borderId="21" xfId="0" applyFont="1" applyBorder="1"/>
    <xf numFmtId="3" fontId="23" fillId="0" borderId="20" xfId="0" applyNumberFormat="1" applyFont="1" applyBorder="1"/>
    <xf numFmtId="0" fontId="27" fillId="3" borderId="0" xfId="0" applyFont="1" applyFill="1"/>
    <xf numFmtId="0" fontId="23" fillId="3" borderId="0" xfId="0" applyFont="1" applyFill="1" applyAlignment="1">
      <alignment horizontal="center"/>
    </xf>
    <xf numFmtId="1" fontId="60" fillId="15" borderId="2" xfId="0" applyNumberFormat="1" applyFont="1" applyFill="1" applyBorder="1" applyAlignment="1">
      <alignment horizontal="center"/>
    </xf>
    <xf numFmtId="169" fontId="23" fillId="0" borderId="0" xfId="2" applyNumberFormat="1" applyFont="1" applyBorder="1"/>
    <xf numFmtId="169" fontId="23" fillId="7" borderId="0" xfId="2" applyNumberFormat="1" applyFont="1" applyFill="1" applyBorder="1"/>
    <xf numFmtId="9" fontId="23" fillId="7" borderId="0" xfId="2" applyNumberFormat="1" applyFont="1" applyFill="1" applyBorder="1"/>
    <xf numFmtId="1" fontId="23" fillId="7" borderId="0" xfId="2" applyNumberFormat="1" applyFont="1" applyFill="1" applyBorder="1"/>
    <xf numFmtId="1" fontId="23" fillId="0" borderId="0" xfId="0" applyNumberFormat="1" applyFont="1"/>
    <xf numFmtId="0" fontId="42" fillId="10" borderId="0" xfId="0" applyFont="1" applyFill="1" applyBorder="1"/>
    <xf numFmtId="1" fontId="42" fillId="10" borderId="0" xfId="2" applyNumberFormat="1" applyFont="1" applyFill="1" applyBorder="1"/>
    <xf numFmtId="6" fontId="23" fillId="0" borderId="0" xfId="2" applyNumberFormat="1" applyFont="1" applyBorder="1"/>
    <xf numFmtId="0" fontId="34" fillId="0" borderId="6" xfId="0" applyFont="1" applyBorder="1"/>
    <xf numFmtId="0" fontId="33" fillId="16" borderId="2" xfId="0" applyFont="1" applyFill="1" applyBorder="1"/>
    <xf numFmtId="0" fontId="33" fillId="16" borderId="3" xfId="0" applyFont="1" applyFill="1" applyBorder="1"/>
    <xf numFmtId="0" fontId="34" fillId="0" borderId="4" xfId="0" applyFont="1" applyBorder="1"/>
    <xf numFmtId="4" fontId="34" fillId="0" borderId="5" xfId="0" applyNumberFormat="1" applyFont="1" applyBorder="1"/>
    <xf numFmtId="4" fontId="34" fillId="0" borderId="0" xfId="0" applyNumberFormat="1" applyFont="1"/>
    <xf numFmtId="4" fontId="34" fillId="0" borderId="0" xfId="0" applyNumberFormat="1" applyFont="1" applyBorder="1"/>
    <xf numFmtId="3" fontId="34" fillId="0" borderId="5" xfId="0" applyNumberFormat="1" applyFont="1" applyBorder="1"/>
    <xf numFmtId="0" fontId="34" fillId="0" borderId="7" xfId="0" applyFont="1" applyBorder="1"/>
    <xf numFmtId="3" fontId="34" fillId="0" borderId="8" xfId="0" applyNumberFormat="1" applyFont="1" applyBorder="1"/>
    <xf numFmtId="3" fontId="34" fillId="0" borderId="9" xfId="0" applyNumberFormat="1" applyFont="1" applyBorder="1"/>
    <xf numFmtId="3" fontId="34" fillId="0" borderId="0" xfId="0" applyNumberFormat="1" applyFont="1"/>
    <xf numFmtId="0" fontId="34" fillId="0" borderId="1" xfId="0" applyFont="1" applyBorder="1"/>
    <xf numFmtId="4" fontId="34" fillId="0" borderId="2" xfId="0" applyNumberFormat="1" applyFont="1" applyBorder="1"/>
    <xf numFmtId="4" fontId="34" fillId="0" borderId="3" xfId="0" applyNumberFormat="1" applyFont="1" applyBorder="1"/>
    <xf numFmtId="0" fontId="34" fillId="0" borderId="5" xfId="0" applyFont="1" applyBorder="1"/>
    <xf numFmtId="4" fontId="34" fillId="4" borderId="0" xfId="0" applyNumberFormat="1" applyFont="1" applyFill="1" applyBorder="1"/>
    <xf numFmtId="0" fontId="34" fillId="0" borderId="10" xfId="0" applyFont="1" applyBorder="1"/>
    <xf numFmtId="3" fontId="34" fillId="0" borderId="13" xfId="0" applyNumberFormat="1" applyFont="1" applyBorder="1"/>
    <xf numFmtId="3" fontId="34" fillId="0" borderId="11" xfId="0" applyNumberFormat="1" applyFont="1" applyBorder="1"/>
    <xf numFmtId="9" fontId="34" fillId="0" borderId="0" xfId="2" applyFont="1" applyBorder="1"/>
    <xf numFmtId="0" fontId="34" fillId="0" borderId="3" xfId="0" applyFont="1" applyBorder="1"/>
    <xf numFmtId="0" fontId="33" fillId="16" borderId="0" xfId="0" applyFont="1" applyFill="1" applyBorder="1"/>
    <xf numFmtId="3" fontId="34" fillId="0" borderId="6" xfId="0" applyNumberFormat="1" applyFont="1" applyBorder="1"/>
    <xf numFmtId="0" fontId="34" fillId="0" borderId="13" xfId="0" applyFont="1" applyBorder="1"/>
    <xf numFmtId="0" fontId="34" fillId="0" borderId="11" xfId="0" applyFont="1" applyBorder="1"/>
    <xf numFmtId="165" fontId="34" fillId="0" borderId="6" xfId="1" applyNumberFormat="1" applyFont="1" applyBorder="1"/>
    <xf numFmtId="0" fontId="32" fillId="3" borderId="0" xfId="0" applyFont="1" applyFill="1"/>
    <xf numFmtId="0" fontId="57" fillId="0" borderId="0" xfId="0" applyFont="1" applyAlignment="1">
      <alignment horizontal="left" vertical="top" wrapText="1"/>
    </xf>
    <xf numFmtId="0" fontId="56" fillId="0" borderId="0" xfId="0" applyFont="1" applyAlignment="1">
      <alignment horizontal="center"/>
    </xf>
    <xf numFmtId="0" fontId="46" fillId="0" borderId="1" xfId="0" applyFont="1" applyBorder="1" applyAlignment="1">
      <alignment horizontal="left" vertical="top" wrapText="1"/>
    </xf>
    <xf numFmtId="164" fontId="46" fillId="0" borderId="2" xfId="0" applyNumberFormat="1" applyFont="1" applyBorder="1" applyAlignment="1">
      <alignment horizontal="right" vertical="top"/>
    </xf>
    <xf numFmtId="164" fontId="46" fillId="0" borderId="3" xfId="0" applyNumberFormat="1" applyFont="1" applyBorder="1" applyAlignment="1">
      <alignment horizontal="right" vertical="top"/>
    </xf>
    <xf numFmtId="0" fontId="56" fillId="0" borderId="4" xfId="0" applyFont="1" applyBorder="1" applyAlignment="1">
      <alignment horizontal="left" vertical="top" wrapText="1"/>
    </xf>
    <xf numFmtId="164" fontId="56" fillId="0" borderId="0" xfId="0" applyNumberFormat="1" applyFont="1" applyBorder="1" applyAlignment="1">
      <alignment horizontal="right" vertical="top"/>
    </xf>
    <xf numFmtId="164" fontId="56" fillId="0" borderId="5" xfId="0" applyNumberFormat="1" applyFont="1" applyBorder="1" applyAlignment="1">
      <alignment horizontal="right" vertical="top"/>
    </xf>
    <xf numFmtId="1" fontId="56" fillId="0" borderId="0" xfId="0" applyNumberFormat="1" applyFont="1" applyBorder="1" applyAlignment="1">
      <alignment horizontal="right" vertical="top"/>
    </xf>
    <xf numFmtId="164" fontId="46" fillId="0" borderId="0" xfId="0" applyNumberFormat="1" applyFont="1" applyBorder="1" applyAlignment="1">
      <alignment horizontal="right" vertical="top"/>
    </xf>
    <xf numFmtId="164" fontId="46" fillId="0" borderId="5" xfId="0" applyNumberFormat="1" applyFont="1" applyBorder="1" applyAlignment="1">
      <alignment horizontal="right" vertical="top"/>
    </xf>
    <xf numFmtId="164" fontId="56" fillId="4" borderId="8" xfId="0" applyNumberFormat="1" applyFont="1" applyFill="1" applyBorder="1" applyAlignment="1">
      <alignment horizontal="right" vertical="top"/>
    </xf>
    <xf numFmtId="164" fontId="56" fillId="4" borderId="9" xfId="0" applyNumberFormat="1" applyFont="1" applyFill="1" applyBorder="1" applyAlignment="1">
      <alignment horizontal="right" vertical="top"/>
    </xf>
    <xf numFmtId="0" fontId="56" fillId="0" borderId="0" xfId="0" applyFont="1" applyBorder="1" applyAlignment="1">
      <alignment horizontal="right" vertical="top" wrapText="1"/>
    </xf>
    <xf numFmtId="0" fontId="56" fillId="0" borderId="5" xfId="0" applyFont="1" applyBorder="1" applyAlignment="1">
      <alignment horizontal="right" vertical="top" wrapText="1"/>
    </xf>
    <xf numFmtId="0" fontId="46" fillId="0" borderId="0" xfId="0" applyFont="1" applyAlignment="1">
      <alignment horizontal="left" vertical="top" wrapText="1"/>
    </xf>
    <xf numFmtId="0" fontId="56" fillId="0" borderId="0" xfId="0" applyFont="1" applyAlignment="1">
      <alignment horizontal="right" vertical="top" wrapText="1"/>
    </xf>
    <xf numFmtId="1" fontId="56" fillId="0" borderId="0" xfId="0" applyNumberFormat="1" applyFont="1" applyAlignment="1">
      <alignment horizontal="right" vertical="top"/>
    </xf>
    <xf numFmtId="0" fontId="46" fillId="3" borderId="0" xfId="0" applyFont="1" applyFill="1" applyBorder="1"/>
    <xf numFmtId="0" fontId="46" fillId="3" borderId="5" xfId="0" applyFont="1" applyFill="1" applyBorder="1"/>
    <xf numFmtId="164" fontId="56" fillId="4" borderId="0" xfId="0" applyNumberFormat="1" applyFont="1" applyFill="1" applyBorder="1" applyAlignment="1">
      <alignment horizontal="right" vertical="top" wrapText="1"/>
    </xf>
    <xf numFmtId="164" fontId="56" fillId="4" borderId="5" xfId="0" applyNumberFormat="1" applyFont="1" applyFill="1" applyBorder="1" applyAlignment="1">
      <alignment horizontal="right" vertical="top" wrapText="1"/>
    </xf>
    <xf numFmtId="164" fontId="56" fillId="0" borderId="0" xfId="0" applyNumberFormat="1" applyFont="1" applyBorder="1" applyAlignment="1">
      <alignment horizontal="right" vertical="top" wrapText="1"/>
    </xf>
    <xf numFmtId="164" fontId="56" fillId="0" borderId="5" xfId="0" applyNumberFormat="1" applyFont="1" applyBorder="1" applyAlignment="1">
      <alignment horizontal="right" vertical="top" wrapText="1"/>
    </xf>
    <xf numFmtId="164" fontId="56" fillId="4" borderId="0" xfId="0" applyNumberFormat="1" applyFont="1" applyFill="1" applyBorder="1" applyAlignment="1">
      <alignment horizontal="right" vertical="top"/>
    </xf>
    <xf numFmtId="164" fontId="56" fillId="4" borderId="5" xfId="0" applyNumberFormat="1" applyFont="1" applyFill="1" applyBorder="1" applyAlignment="1">
      <alignment horizontal="right" vertical="top"/>
    </xf>
    <xf numFmtId="1" fontId="56" fillId="0" borderId="5" xfId="0" applyNumberFormat="1" applyFont="1" applyBorder="1" applyAlignment="1">
      <alignment horizontal="right" vertical="top"/>
    </xf>
    <xf numFmtId="0" fontId="56" fillId="3" borderId="21" xfId="0" applyFont="1" applyFill="1" applyBorder="1"/>
    <xf numFmtId="10" fontId="32" fillId="3" borderId="19" xfId="2" applyNumberFormat="1" applyFont="1" applyFill="1" applyBorder="1"/>
    <xf numFmtId="10" fontId="32" fillId="3" borderId="20" xfId="2" applyNumberFormat="1" applyFont="1" applyFill="1" applyBorder="1"/>
    <xf numFmtId="0" fontId="61" fillId="0" borderId="0" xfId="0" applyFont="1" applyAlignment="1">
      <alignment horizontal="center" vertical="center" wrapText="1"/>
    </xf>
    <xf numFmtId="0" fontId="32" fillId="3" borderId="1" xfId="0" applyFont="1" applyFill="1" applyBorder="1"/>
    <xf numFmtId="0" fontId="32" fillId="3" borderId="2" xfId="0" applyFont="1" applyFill="1" applyBorder="1"/>
    <xf numFmtId="164" fontId="32" fillId="3" borderId="2" xfId="0" applyNumberFormat="1" applyFont="1" applyFill="1" applyBorder="1"/>
    <xf numFmtId="164" fontId="32" fillId="3" borderId="3" xfId="0" applyNumberFormat="1" applyFont="1" applyFill="1" applyBorder="1"/>
    <xf numFmtId="0" fontId="32" fillId="3" borderId="4" xfId="0" applyFont="1" applyFill="1" applyBorder="1"/>
    <xf numFmtId="0" fontId="32" fillId="3" borderId="0" xfId="0" applyFont="1" applyFill="1" applyBorder="1"/>
    <xf numFmtId="0" fontId="32" fillId="3" borderId="5" xfId="0" applyFont="1" applyFill="1" applyBorder="1"/>
    <xf numFmtId="9" fontId="32" fillId="3" borderId="0" xfId="0" applyNumberFormat="1" applyFont="1" applyFill="1" applyBorder="1"/>
    <xf numFmtId="9" fontId="32" fillId="3" borderId="5" xfId="0" applyNumberFormat="1" applyFont="1" applyFill="1" applyBorder="1"/>
    <xf numFmtId="3" fontId="32" fillId="3" borderId="0" xfId="0" applyNumberFormat="1" applyFont="1" applyFill="1" applyBorder="1"/>
    <xf numFmtId="3" fontId="32" fillId="3" borderId="5" xfId="0" applyNumberFormat="1" applyFont="1" applyFill="1" applyBorder="1"/>
    <xf numFmtId="0" fontId="44" fillId="10" borderId="4" xfId="0" applyFont="1" applyFill="1" applyBorder="1"/>
    <xf numFmtId="0" fontId="44" fillId="10" borderId="0" xfId="0" applyFont="1" applyFill="1" applyBorder="1"/>
    <xf numFmtId="1" fontId="44" fillId="10" borderId="0" xfId="0" applyNumberFormat="1" applyFont="1" applyFill="1" applyBorder="1"/>
    <xf numFmtId="1" fontId="44" fillId="10" borderId="5" xfId="0" applyNumberFormat="1" applyFont="1" applyFill="1" applyBorder="1"/>
    <xf numFmtId="10" fontId="32" fillId="3" borderId="0" xfId="0" applyNumberFormat="1" applyFont="1" applyFill="1" applyBorder="1"/>
    <xf numFmtId="10" fontId="32" fillId="3" borderId="5" xfId="0" applyNumberFormat="1" applyFont="1" applyFill="1" applyBorder="1"/>
    <xf numFmtId="1" fontId="32" fillId="3" borderId="0" xfId="0" applyNumberFormat="1" applyFont="1" applyFill="1" applyBorder="1"/>
    <xf numFmtId="1" fontId="32" fillId="3" borderId="5" xfId="0" applyNumberFormat="1" applyFont="1" applyFill="1" applyBorder="1"/>
    <xf numFmtId="0" fontId="44" fillId="10" borderId="7" xfId="0" applyFont="1" applyFill="1" applyBorder="1"/>
    <xf numFmtId="0" fontId="44" fillId="10" borderId="8" xfId="0" applyFont="1" applyFill="1" applyBorder="1"/>
    <xf numFmtId="1" fontId="44" fillId="10" borderId="8" xfId="0" applyNumberFormat="1" applyFont="1" applyFill="1" applyBorder="1"/>
    <xf numFmtId="9" fontId="44" fillId="10" borderId="8" xfId="0" applyNumberFormat="1" applyFont="1" applyFill="1" applyBorder="1"/>
    <xf numFmtId="9" fontId="44" fillId="10" borderId="9" xfId="0" applyNumberFormat="1" applyFont="1" applyFill="1" applyBorder="1"/>
    <xf numFmtId="9" fontId="32" fillId="3" borderId="2" xfId="0" applyNumberFormat="1" applyFont="1" applyFill="1" applyBorder="1"/>
    <xf numFmtId="9" fontId="32" fillId="3" borderId="3" xfId="0" applyNumberFormat="1" applyFont="1" applyFill="1" applyBorder="1"/>
    <xf numFmtId="0" fontId="32" fillId="10" borderId="8" xfId="0" applyFont="1" applyFill="1" applyBorder="1"/>
    <xf numFmtId="0" fontId="33" fillId="16" borderId="0" xfId="0" applyFont="1" applyFill="1"/>
    <xf numFmtId="0" fontId="32" fillId="16" borderId="0" xfId="0" applyFont="1" applyFill="1"/>
    <xf numFmtId="1" fontId="33" fillId="16" borderId="0" xfId="0" applyNumberFormat="1" applyFont="1" applyFill="1"/>
    <xf numFmtId="0" fontId="32" fillId="2" borderId="0" xfId="0" applyFont="1" applyFill="1"/>
    <xf numFmtId="3" fontId="32" fillId="2" borderId="0" xfId="0" applyNumberFormat="1" applyFont="1" applyFill="1"/>
    <xf numFmtId="0" fontId="44" fillId="16" borderId="0" xfId="0" applyFont="1" applyFill="1"/>
    <xf numFmtId="3" fontId="44" fillId="16" borderId="0" xfId="0" applyNumberFormat="1" applyFont="1" applyFill="1"/>
    <xf numFmtId="3" fontId="32" fillId="0" borderId="2" xfId="0" applyNumberFormat="1" applyFont="1" applyBorder="1"/>
    <xf numFmtId="3" fontId="32" fillId="0" borderId="3" xfId="0" applyNumberFormat="1" applyFont="1" applyBorder="1"/>
    <xf numFmtId="0" fontId="34" fillId="7" borderId="1" xfId="0" applyFont="1" applyFill="1" applyBorder="1"/>
    <xf numFmtId="0" fontId="44" fillId="10" borderId="0" xfId="0" applyFont="1" applyFill="1"/>
    <xf numFmtId="0" fontId="33" fillId="10" borderId="0" xfId="0" applyFont="1" applyFill="1"/>
    <xf numFmtId="0" fontId="62" fillId="0" borderId="0" xfId="0" applyFont="1"/>
    <xf numFmtId="0" fontId="33" fillId="16" borderId="10" xfId="0" applyFont="1" applyFill="1" applyBorder="1"/>
    <xf numFmtId="3" fontId="33" fillId="16" borderId="13" xfId="0" applyNumberFormat="1" applyFont="1" applyFill="1" applyBorder="1"/>
    <xf numFmtId="3" fontId="33" fillId="16" borderId="11" xfId="0" applyNumberFormat="1" applyFont="1" applyFill="1" applyBorder="1"/>
    <xf numFmtId="0" fontId="44" fillId="10" borderId="0" xfId="0" applyFont="1" applyFill="1" applyAlignment="1">
      <alignment horizontal="center"/>
    </xf>
    <xf numFmtId="2" fontId="31" fillId="0" borderId="0" xfId="0" applyNumberFormat="1" applyFont="1"/>
    <xf numFmtId="9" fontId="32" fillId="0" borderId="0" xfId="2" applyFont="1"/>
    <xf numFmtId="8" fontId="44" fillId="10" borderId="0" xfId="0" applyNumberFormat="1" applyFont="1" applyFill="1"/>
    <xf numFmtId="2" fontId="33" fillId="10" borderId="0" xfId="0" applyNumberFormat="1" applyFont="1" applyFill="1"/>
    <xf numFmtId="3" fontId="31" fillId="0" borderId="0" xfId="0" applyNumberFormat="1" applyFont="1"/>
    <xf numFmtId="14" fontId="46" fillId="0" borderId="0" xfId="0" applyNumberFormat="1" applyFont="1" applyAlignment="1">
      <alignment horizontal="right" vertical="top"/>
    </xf>
    <xf numFmtId="0" fontId="46" fillId="2" borderId="0" xfId="0" applyFont="1" applyFill="1" applyAlignment="1">
      <alignment horizontal="left" vertical="top" wrapText="1"/>
    </xf>
    <xf numFmtId="164" fontId="56" fillId="2" borderId="0" xfId="0" applyNumberFormat="1" applyFont="1" applyFill="1" applyAlignment="1">
      <alignment horizontal="right" vertical="top"/>
    </xf>
    <xf numFmtId="0" fontId="56" fillId="0" borderId="0" xfId="0" applyFont="1" applyAlignment="1">
      <alignment horizontal="left" vertical="top" wrapText="1"/>
    </xf>
    <xf numFmtId="164" fontId="56" fillId="0" borderId="0" xfId="0" applyNumberFormat="1" applyFont="1" applyAlignment="1">
      <alignment horizontal="right" vertical="top"/>
    </xf>
    <xf numFmtId="164" fontId="56" fillId="3" borderId="0" xfId="0" applyNumberFormat="1" applyFont="1" applyFill="1"/>
    <xf numFmtId="1" fontId="56" fillId="2" borderId="0" xfId="0" applyNumberFormat="1" applyFont="1" applyFill="1" applyAlignment="1">
      <alignment horizontal="right" vertical="top"/>
    </xf>
    <xf numFmtId="0" fontId="56" fillId="2" borderId="0" xfId="0" applyFont="1" applyFill="1" applyAlignment="1">
      <alignment horizontal="right" vertical="top" wrapText="1"/>
    </xf>
    <xf numFmtId="0" fontId="46" fillId="0" borderId="0" xfId="0" applyFont="1" applyAlignment="1">
      <alignment horizontal="right" vertical="top" wrapText="1"/>
    </xf>
    <xf numFmtId="0" fontId="57" fillId="0" borderId="0" xfId="0" applyFont="1" applyAlignment="1">
      <alignment horizontal="left" vertical="top"/>
    </xf>
    <xf numFmtId="164" fontId="56" fillId="2" borderId="0" xfId="0" applyNumberFormat="1" applyFont="1" applyFill="1" applyAlignment="1">
      <alignment horizontal="right" vertical="top" wrapText="1"/>
    </xf>
    <xf numFmtId="164" fontId="56" fillId="0" borderId="0" xfId="0" applyNumberFormat="1" applyFont="1" applyAlignment="1">
      <alignment horizontal="right" vertical="top" wrapText="1"/>
    </xf>
    <xf numFmtId="0" fontId="46" fillId="0" borderId="0" xfId="0" applyFont="1"/>
    <xf numFmtId="0" fontId="56" fillId="3" borderId="0" xfId="0" applyFont="1" applyFill="1" applyBorder="1" applyAlignment="1">
      <alignment horizontal="right"/>
    </xf>
    <xf numFmtId="164" fontId="56" fillId="0" borderId="2" xfId="0" applyNumberFormat="1" applyFont="1" applyBorder="1" applyAlignment="1">
      <alignment horizontal="right" vertical="top"/>
    </xf>
    <xf numFmtId="164" fontId="56" fillId="28" borderId="12" xfId="0" applyNumberFormat="1" applyFont="1" applyFill="1" applyBorder="1" applyAlignment="1">
      <alignment horizontal="right"/>
    </xf>
    <xf numFmtId="164" fontId="56" fillId="28" borderId="22" xfId="0" applyNumberFormat="1" applyFont="1" applyFill="1" applyBorder="1" applyAlignment="1">
      <alignment horizontal="right"/>
    </xf>
    <xf numFmtId="4" fontId="56" fillId="0" borderId="0" xfId="0" applyNumberFormat="1" applyFont="1" applyBorder="1" applyAlignment="1">
      <alignment horizontal="right" vertical="top"/>
    </xf>
    <xf numFmtId="164" fontId="56" fillId="0" borderId="0" xfId="0" applyNumberFormat="1" applyFont="1" applyBorder="1" applyAlignment="1">
      <alignment horizontal="right"/>
    </xf>
    <xf numFmtId="1" fontId="56" fillId="0" borderId="8" xfId="0" applyNumberFormat="1" applyFont="1" applyBorder="1" applyAlignment="1">
      <alignment horizontal="right" vertical="top"/>
    </xf>
    <xf numFmtId="164" fontId="56" fillId="28" borderId="23" xfId="0" applyNumberFormat="1" applyFont="1" applyFill="1" applyBorder="1" applyAlignment="1">
      <alignment horizontal="right"/>
    </xf>
    <xf numFmtId="0" fontId="41" fillId="0" borderId="0" xfId="0" applyFont="1"/>
    <xf numFmtId="164" fontId="63" fillId="0" borderId="2" xfId="0" applyNumberFormat="1" applyFont="1" applyBorder="1" applyAlignment="1">
      <alignment horizontal="right" vertical="top"/>
    </xf>
    <xf numFmtId="1" fontId="63" fillId="0" borderId="0" xfId="0" applyNumberFormat="1" applyFont="1" applyBorder="1" applyAlignment="1">
      <alignment horizontal="right" vertical="top"/>
    </xf>
    <xf numFmtId="164" fontId="63" fillId="0" borderId="0" xfId="0" applyNumberFormat="1" applyFont="1" applyBorder="1" applyAlignment="1">
      <alignment horizontal="right" vertical="top"/>
    </xf>
    <xf numFmtId="4" fontId="63" fillId="0" borderId="0" xfId="0" applyNumberFormat="1" applyFont="1" applyBorder="1" applyAlignment="1">
      <alignment horizontal="right" vertical="top"/>
    </xf>
    <xf numFmtId="164" fontId="63" fillId="0" borderId="0" xfId="0" applyNumberFormat="1" applyFont="1" applyBorder="1" applyAlignment="1">
      <alignment horizontal="right"/>
    </xf>
    <xf numFmtId="1" fontId="63" fillId="0" borderId="8" xfId="0" applyNumberFormat="1" applyFont="1" applyBorder="1" applyAlignment="1">
      <alignment horizontal="right" vertical="top"/>
    </xf>
    <xf numFmtId="0" fontId="56" fillId="3" borderId="0" xfId="0" applyFont="1" applyFill="1" applyAlignment="1"/>
    <xf numFmtId="0" fontId="44" fillId="10" borderId="1" xfId="0" applyFont="1" applyFill="1" applyBorder="1" applyAlignment="1">
      <alignment horizontal="center" wrapText="1"/>
    </xf>
    <xf numFmtId="0" fontId="44" fillId="10" borderId="2" xfId="0" applyFont="1" applyFill="1" applyBorder="1" applyAlignment="1">
      <alignment horizontal="center" vertical="top" wrapText="1"/>
    </xf>
    <xf numFmtId="0" fontId="44" fillId="10" borderId="2" xfId="0" applyFont="1" applyFill="1" applyBorder="1" applyAlignment="1">
      <alignment horizontal="center" wrapText="1"/>
    </xf>
    <xf numFmtId="0" fontId="44" fillId="10" borderId="3" xfId="0" applyFont="1" applyFill="1" applyBorder="1" applyAlignment="1">
      <alignment horizontal="center" wrapText="1"/>
    </xf>
    <xf numFmtId="0" fontId="44" fillId="10" borderId="4" xfId="0" applyFont="1" applyFill="1" applyBorder="1" applyAlignment="1">
      <alignment horizontal="center" wrapText="1"/>
    </xf>
    <xf numFmtId="0" fontId="44" fillId="10" borderId="0" xfId="0" applyFont="1" applyFill="1" applyBorder="1" applyAlignment="1">
      <alignment horizontal="center" vertical="top" wrapText="1"/>
    </xf>
    <xf numFmtId="0" fontId="44" fillId="10" borderId="0" xfId="0" applyFont="1" applyFill="1" applyBorder="1" applyAlignment="1">
      <alignment horizontal="center" wrapText="1"/>
    </xf>
    <xf numFmtId="0" fontId="44" fillId="10" borderId="5" xfId="0" applyFont="1" applyFill="1" applyBorder="1" applyAlignment="1">
      <alignment horizontal="right" vertical="top" wrapText="1"/>
    </xf>
    <xf numFmtId="0" fontId="34" fillId="7" borderId="4" xfId="0" applyFont="1" applyFill="1" applyBorder="1" applyAlignment="1">
      <alignment horizontal="left" vertical="top" wrapText="1"/>
    </xf>
    <xf numFmtId="1" fontId="34" fillId="7" borderId="0" xfId="0" applyNumberFormat="1" applyFont="1" applyFill="1" applyBorder="1" applyAlignment="1">
      <alignment horizontal="right" vertical="top"/>
    </xf>
    <xf numFmtId="10" fontId="34" fillId="7" borderId="0" xfId="2" applyNumberFormat="1" applyFont="1" applyFill="1" applyBorder="1" applyAlignment="1">
      <alignment horizontal="right" vertical="top"/>
    </xf>
    <xf numFmtId="4" fontId="34" fillId="7" borderId="0" xfId="0" applyNumberFormat="1" applyFont="1" applyFill="1" applyBorder="1" applyAlignment="1">
      <alignment horizontal="right" vertical="top"/>
    </xf>
    <xf numFmtId="1" fontId="34" fillId="7" borderId="5" xfId="0" applyNumberFormat="1" applyFont="1" applyFill="1" applyBorder="1" applyAlignment="1">
      <alignment horizontal="right" vertical="top"/>
    </xf>
    <xf numFmtId="164" fontId="34" fillId="7" borderId="0" xfId="0" applyNumberFormat="1" applyFont="1" applyFill="1" applyBorder="1" applyAlignment="1">
      <alignment horizontal="right" vertical="top"/>
    </xf>
    <xf numFmtId="0" fontId="64" fillId="7" borderId="4" xfId="0" applyFont="1" applyFill="1" applyBorder="1" applyAlignment="1">
      <alignment horizontal="left" vertical="top" wrapText="1"/>
    </xf>
    <xf numFmtId="1" fontId="64" fillId="7" borderId="0" xfId="0" applyNumberFormat="1" applyFont="1" applyFill="1" applyBorder="1" applyAlignment="1">
      <alignment horizontal="right" vertical="top"/>
    </xf>
    <xf numFmtId="10" fontId="64" fillId="7" borderId="0" xfId="2" applyNumberFormat="1" applyFont="1" applyFill="1" applyBorder="1" applyAlignment="1">
      <alignment horizontal="right" vertical="top"/>
    </xf>
    <xf numFmtId="1" fontId="64" fillId="7" borderId="5" xfId="0" applyNumberFormat="1" applyFont="1" applyFill="1" applyBorder="1" applyAlignment="1">
      <alignment horizontal="right" vertical="top"/>
    </xf>
    <xf numFmtId="4" fontId="64" fillId="7" borderId="0" xfId="2" applyNumberFormat="1" applyFont="1" applyFill="1" applyBorder="1" applyAlignment="1">
      <alignment horizontal="right" vertical="top"/>
    </xf>
    <xf numFmtId="0" fontId="56" fillId="0" borderId="7" xfId="0" applyFont="1" applyBorder="1"/>
    <xf numFmtId="0" fontId="56" fillId="3" borderId="8" xfId="0" applyFont="1" applyFill="1" applyBorder="1" applyAlignment="1"/>
    <xf numFmtId="0" fontId="56" fillId="3" borderId="9" xfId="0" applyFont="1" applyFill="1" applyBorder="1" applyAlignment="1"/>
    <xf numFmtId="0" fontId="56" fillId="3" borderId="0" xfId="0" applyFont="1" applyFill="1" applyBorder="1" applyAlignment="1"/>
    <xf numFmtId="0" fontId="34" fillId="7" borderId="0" xfId="0" applyFont="1" applyFill="1" applyAlignment="1"/>
    <xf numFmtId="0" fontId="34" fillId="7" borderId="0" xfId="0" applyFont="1" applyFill="1" applyBorder="1" applyAlignment="1"/>
    <xf numFmtId="0" fontId="34" fillId="7" borderId="5" xfId="0" applyFont="1" applyFill="1" applyBorder="1" applyAlignment="1"/>
    <xf numFmtId="0" fontId="64" fillId="7" borderId="7" xfId="0" applyFont="1" applyFill="1" applyBorder="1" applyAlignment="1">
      <alignment horizontal="left" vertical="top" wrapText="1"/>
    </xf>
    <xf numFmtId="1" fontId="64" fillId="7" borderId="8" xfId="0" applyNumberFormat="1" applyFont="1" applyFill="1" applyBorder="1" applyAlignment="1">
      <alignment horizontal="right" vertical="top"/>
    </xf>
    <xf numFmtId="10" fontId="64" fillId="7" borderId="8" xfId="2" applyNumberFormat="1" applyFont="1" applyFill="1" applyBorder="1" applyAlignment="1">
      <alignment horizontal="right" vertical="top"/>
    </xf>
    <xf numFmtId="4" fontId="64" fillId="7" borderId="8" xfId="2" applyNumberFormat="1" applyFont="1" applyFill="1" applyBorder="1" applyAlignment="1">
      <alignment horizontal="right" vertical="top"/>
    </xf>
    <xf numFmtId="1" fontId="64" fillId="7" borderId="9" xfId="0" applyNumberFormat="1" applyFont="1" applyFill="1" applyBorder="1" applyAlignment="1">
      <alignment horizontal="right" vertical="top"/>
    </xf>
    <xf numFmtId="0" fontId="64" fillId="7" borderId="0" xfId="0" applyFont="1" applyFill="1" applyBorder="1" applyAlignment="1">
      <alignment horizontal="left" vertical="top" wrapText="1"/>
    </xf>
    <xf numFmtId="0" fontId="34" fillId="7" borderId="0" xfId="0" applyFont="1" applyFill="1" applyBorder="1" applyAlignment="1">
      <alignment horizontal="right" vertical="top"/>
    </xf>
    <xf numFmtId="0" fontId="34" fillId="7" borderId="5" xfId="0" applyFont="1" applyFill="1" applyBorder="1" applyAlignment="1">
      <alignment horizontal="right" vertical="top"/>
    </xf>
    <xf numFmtId="0" fontId="34" fillId="7" borderId="2" xfId="0" applyFont="1" applyFill="1" applyBorder="1" applyAlignment="1"/>
    <xf numFmtId="0" fontId="34" fillId="7" borderId="3" xfId="0" applyFont="1" applyFill="1" applyBorder="1" applyAlignment="1"/>
    <xf numFmtId="1" fontId="34" fillId="7" borderId="0" xfId="0" applyNumberFormat="1" applyFont="1" applyFill="1" applyBorder="1" applyAlignment="1"/>
    <xf numFmtId="10" fontId="34" fillId="7" borderId="0" xfId="2" applyNumberFormat="1" applyFont="1" applyFill="1" applyBorder="1" applyAlignment="1"/>
    <xf numFmtId="1" fontId="34" fillId="7" borderId="5" xfId="0" applyNumberFormat="1" applyFont="1" applyFill="1" applyBorder="1" applyAlignment="1"/>
    <xf numFmtId="1" fontId="34" fillId="7" borderId="8" xfId="0" applyNumberFormat="1" applyFont="1" applyFill="1" applyBorder="1" applyAlignment="1"/>
    <xf numFmtId="10" fontId="34" fillId="7" borderId="8" xfId="2" applyNumberFormat="1" applyFont="1" applyFill="1" applyBorder="1" applyAlignment="1"/>
    <xf numFmtId="1" fontId="34" fillId="7" borderId="9" xfId="0" applyNumberFormat="1" applyFont="1" applyFill="1" applyBorder="1" applyAlignment="1"/>
    <xf numFmtId="10" fontId="34" fillId="7" borderId="0" xfId="2" applyNumberFormat="1" applyFont="1" applyFill="1" applyAlignment="1"/>
    <xf numFmtId="0" fontId="65" fillId="0" borderId="0" xfId="0" applyFont="1"/>
    <xf numFmtId="0" fontId="66" fillId="0" borderId="0" xfId="0" applyFont="1" applyAlignment="1">
      <alignment horizontal="left"/>
    </xf>
    <xf numFmtId="10" fontId="66" fillId="0" borderId="0" xfId="0" applyNumberFormat="1" applyFont="1"/>
    <xf numFmtId="0" fontId="66" fillId="0" borderId="0" xfId="0" applyFont="1" applyAlignment="1">
      <alignment horizontal="right"/>
    </xf>
    <xf numFmtId="10" fontId="66" fillId="0" borderId="0" xfId="0" applyNumberFormat="1" applyFont="1" applyAlignment="1">
      <alignment horizontal="left"/>
    </xf>
    <xf numFmtId="0" fontId="66" fillId="0" borderId="1" xfId="0" applyFont="1" applyBorder="1" applyAlignment="1">
      <alignment horizontal="left"/>
    </xf>
    <xf numFmtId="0" fontId="66" fillId="0" borderId="2" xfId="0" applyFont="1" applyBorder="1" applyAlignment="1">
      <alignment horizontal="left"/>
    </xf>
    <xf numFmtId="0" fontId="66" fillId="0" borderId="15" xfId="0" applyFont="1" applyBorder="1" applyAlignment="1">
      <alignment horizontal="right"/>
    </xf>
    <xf numFmtId="0" fontId="66" fillId="0" borderId="60" xfId="0" applyFont="1" applyBorder="1" applyAlignment="1">
      <alignment horizontal="right"/>
    </xf>
    <xf numFmtId="0" fontId="66" fillId="0" borderId="45" xfId="0" applyFont="1" applyBorder="1" applyAlignment="1">
      <alignment horizontal="right"/>
    </xf>
    <xf numFmtId="10" fontId="34" fillId="4" borderId="34" xfId="0" applyNumberFormat="1" applyFont="1" applyFill="1" applyBorder="1" applyAlignment="1">
      <alignment horizontal="left"/>
    </xf>
    <xf numFmtId="10" fontId="34" fillId="4" borderId="35" xfId="0" applyNumberFormat="1" applyFont="1" applyFill="1" applyBorder="1" applyAlignment="1">
      <alignment horizontal="left"/>
    </xf>
    <xf numFmtId="4" fontId="34" fillId="4" borderId="36" xfId="0" applyNumberFormat="1" applyFont="1" applyFill="1" applyBorder="1" applyAlignment="1">
      <alignment horizontal="right"/>
    </xf>
    <xf numFmtId="4" fontId="34" fillId="4" borderId="61" xfId="0" applyNumberFormat="1" applyFont="1" applyFill="1" applyBorder="1" applyAlignment="1">
      <alignment horizontal="right"/>
    </xf>
    <xf numFmtId="10" fontId="34" fillId="7" borderId="37" xfId="0" applyNumberFormat="1" applyFont="1" applyFill="1" applyBorder="1" applyAlignment="1">
      <alignment horizontal="left"/>
    </xf>
    <xf numFmtId="10" fontId="34" fillId="7" borderId="32" xfId="0" applyNumberFormat="1" applyFont="1" applyFill="1" applyBorder="1" applyAlignment="1">
      <alignment horizontal="left"/>
    </xf>
    <xf numFmtId="4" fontId="34" fillId="7" borderId="32" xfId="0" applyNumberFormat="1" applyFont="1" applyFill="1" applyBorder="1"/>
    <xf numFmtId="4" fontId="34" fillId="7" borderId="62" xfId="0" applyNumberFormat="1" applyFont="1" applyFill="1" applyBorder="1"/>
    <xf numFmtId="10" fontId="34" fillId="0" borderId="37" xfId="0" applyNumberFormat="1" applyFont="1" applyBorder="1" applyAlignment="1">
      <alignment horizontal="left"/>
    </xf>
    <xf numFmtId="10" fontId="34" fillId="0" borderId="32" xfId="0" applyNumberFormat="1" applyFont="1" applyBorder="1" applyAlignment="1">
      <alignment horizontal="left"/>
    </xf>
    <xf numFmtId="4" fontId="34" fillId="0" borderId="32" xfId="0" applyNumberFormat="1" applyFont="1" applyBorder="1" applyAlignment="1">
      <alignment horizontal="right"/>
    </xf>
    <xf numFmtId="10" fontId="34" fillId="4" borderId="37" xfId="0" applyNumberFormat="1" applyFont="1" applyFill="1" applyBorder="1" applyAlignment="1">
      <alignment horizontal="left"/>
    </xf>
    <xf numFmtId="10" fontId="34" fillId="4" borderId="32" xfId="0" applyNumberFormat="1" applyFont="1" applyFill="1" applyBorder="1" applyAlignment="1">
      <alignment horizontal="left"/>
    </xf>
    <xf numFmtId="4" fontId="34" fillId="4" borderId="32" xfId="0" applyNumberFormat="1" applyFont="1" applyFill="1" applyBorder="1" applyAlignment="1">
      <alignment horizontal="right"/>
    </xf>
    <xf numFmtId="4" fontId="34" fillId="4" borderId="62" xfId="0" applyNumberFormat="1" applyFont="1" applyFill="1" applyBorder="1" applyAlignment="1">
      <alignment horizontal="right"/>
    </xf>
    <xf numFmtId="10" fontId="58" fillId="5" borderId="38" xfId="0" applyNumberFormat="1" applyFont="1" applyFill="1" applyBorder="1" applyAlignment="1">
      <alignment horizontal="left"/>
    </xf>
    <xf numFmtId="10" fontId="58" fillId="5" borderId="39" xfId="0" applyNumberFormat="1" applyFont="1" applyFill="1" applyBorder="1" applyAlignment="1">
      <alignment horizontal="left"/>
    </xf>
    <xf numFmtId="4" fontId="58" fillId="5" borderId="39" xfId="0" applyNumberFormat="1" applyFont="1" applyFill="1" applyBorder="1" applyAlignment="1">
      <alignment horizontal="right"/>
    </xf>
    <xf numFmtId="4" fontId="58" fillId="5" borderId="63" xfId="0" applyNumberFormat="1" applyFont="1" applyFill="1" applyBorder="1" applyAlignment="1">
      <alignment horizontal="right"/>
    </xf>
    <xf numFmtId="10" fontId="66" fillId="0" borderId="4" xfId="0" applyNumberFormat="1" applyFont="1" applyBorder="1" applyAlignment="1">
      <alignment horizontal="left"/>
    </xf>
    <xf numFmtId="10" fontId="66" fillId="0" borderId="0" xfId="0" applyNumberFormat="1" applyFont="1" applyBorder="1" applyAlignment="1">
      <alignment horizontal="left"/>
    </xf>
    <xf numFmtId="4" fontId="66" fillId="0" borderId="0" xfId="0" applyNumberFormat="1" applyFont="1" applyBorder="1" applyAlignment="1">
      <alignment horizontal="right"/>
    </xf>
    <xf numFmtId="10" fontId="34" fillId="0" borderId="34" xfId="0" applyNumberFormat="1" applyFont="1" applyBorder="1" applyAlignment="1">
      <alignment horizontal="left"/>
    </xf>
    <xf numFmtId="10" fontId="34" fillId="0" borderId="35" xfId="0" applyNumberFormat="1" applyFont="1" applyBorder="1" applyAlignment="1">
      <alignment horizontal="left"/>
    </xf>
    <xf numFmtId="4" fontId="34" fillId="0" borderId="36" xfId="0" applyNumberFormat="1" applyFont="1" applyBorder="1" applyAlignment="1">
      <alignment horizontal="right"/>
    </xf>
    <xf numFmtId="0" fontId="56" fillId="0" borderId="36" xfId="0" applyFont="1" applyBorder="1"/>
    <xf numFmtId="0" fontId="56" fillId="0" borderId="61" xfId="0" applyFont="1" applyBorder="1"/>
    <xf numFmtId="10" fontId="34" fillId="0" borderId="4" xfId="0" applyNumberFormat="1" applyFont="1" applyBorder="1" applyAlignment="1">
      <alignment horizontal="left"/>
    </xf>
    <xf numFmtId="10" fontId="34" fillId="0" borderId="17" xfId="0" applyNumberFormat="1" applyFont="1" applyBorder="1" applyAlignment="1">
      <alignment horizontal="left"/>
    </xf>
    <xf numFmtId="4" fontId="34" fillId="0" borderId="32" xfId="0" applyNumberFormat="1" applyFont="1" applyBorder="1"/>
    <xf numFmtId="0" fontId="56" fillId="0" borderId="62" xfId="0" applyFont="1" applyBorder="1"/>
    <xf numFmtId="10" fontId="58" fillId="5" borderId="7" xfId="0" applyNumberFormat="1" applyFont="1" applyFill="1" applyBorder="1" applyAlignment="1">
      <alignment horizontal="left"/>
    </xf>
    <xf numFmtId="10" fontId="58" fillId="5" borderId="41" xfId="0" applyNumberFormat="1" applyFont="1" applyFill="1" applyBorder="1" applyAlignment="1">
      <alignment horizontal="left"/>
    </xf>
    <xf numFmtId="4" fontId="58" fillId="5" borderId="42" xfId="0" applyNumberFormat="1" applyFont="1" applyFill="1" applyBorder="1" applyAlignment="1">
      <alignment horizontal="right"/>
    </xf>
    <xf numFmtId="4" fontId="58" fillId="5" borderId="64" xfId="0" applyNumberFormat="1" applyFont="1" applyFill="1" applyBorder="1" applyAlignment="1">
      <alignment horizontal="right"/>
    </xf>
    <xf numFmtId="0" fontId="66" fillId="0" borderId="0" xfId="0" applyFont="1" applyBorder="1" applyAlignment="1">
      <alignment horizontal="right"/>
    </xf>
    <xf numFmtId="3" fontId="66" fillId="0" borderId="0" xfId="0" applyNumberFormat="1" applyFont="1" applyBorder="1" applyAlignment="1">
      <alignment horizontal="right"/>
    </xf>
    <xf numFmtId="10" fontId="66" fillId="0" borderId="1" xfId="0" applyNumberFormat="1" applyFont="1" applyBorder="1" applyAlignment="1">
      <alignment horizontal="left"/>
    </xf>
    <xf numFmtId="10" fontId="66" fillId="0" borderId="2" xfId="0" applyNumberFormat="1" applyFont="1" applyBorder="1" applyAlignment="1">
      <alignment horizontal="left"/>
    </xf>
    <xf numFmtId="0" fontId="56" fillId="0" borderId="3" xfId="0" applyFont="1" applyBorder="1"/>
    <xf numFmtId="0" fontId="32" fillId="0" borderId="20" xfId="0" applyFont="1" applyBorder="1"/>
    <xf numFmtId="0" fontId="66" fillId="0" borderId="18" xfId="0" applyFont="1" applyBorder="1" applyAlignment="1">
      <alignment horizontal="right"/>
    </xf>
    <xf numFmtId="0" fontId="66" fillId="0" borderId="65" xfId="0" applyFont="1" applyBorder="1" applyAlignment="1">
      <alignment horizontal="right"/>
    </xf>
    <xf numFmtId="0" fontId="66" fillId="0" borderId="17" xfId="0" applyFont="1" applyBorder="1" applyAlignment="1">
      <alignment horizontal="right"/>
    </xf>
    <xf numFmtId="2" fontId="34" fillId="0" borderId="32" xfId="0" applyNumberFormat="1" applyFont="1" applyBorder="1" applyAlignment="1">
      <alignment horizontal="right"/>
    </xf>
    <xf numFmtId="4" fontId="56" fillId="0" borderId="5" xfId="0" applyNumberFormat="1" applyFont="1" applyBorder="1"/>
    <xf numFmtId="10" fontId="34" fillId="0" borderId="0" xfId="0" applyNumberFormat="1" applyFont="1" applyBorder="1" applyAlignment="1">
      <alignment horizontal="left"/>
    </xf>
    <xf numFmtId="4" fontId="34" fillId="0" borderId="17" xfId="0" applyNumberFormat="1" applyFont="1" applyBorder="1" applyAlignment="1">
      <alignment horizontal="right"/>
    </xf>
    <xf numFmtId="0" fontId="34" fillId="4" borderId="4" xfId="0" applyFont="1" applyFill="1" applyBorder="1"/>
    <xf numFmtId="0" fontId="34" fillId="4" borderId="0" xfId="0" applyFont="1" applyFill="1" applyBorder="1"/>
    <xf numFmtId="4" fontId="34" fillId="4" borderId="17" xfId="0" applyNumberFormat="1" applyFont="1" applyFill="1" applyBorder="1"/>
    <xf numFmtId="4" fontId="34" fillId="4" borderId="32" xfId="0" applyNumberFormat="1" applyFont="1" applyFill="1" applyBorder="1"/>
    <xf numFmtId="4" fontId="34" fillId="4" borderId="62" xfId="0" applyNumberFormat="1" applyFont="1" applyFill="1" applyBorder="1"/>
    <xf numFmtId="4" fontId="34" fillId="0" borderId="17" xfId="0" applyNumberFormat="1" applyFont="1" applyBorder="1"/>
    <xf numFmtId="4" fontId="34" fillId="0" borderId="33" xfId="0" applyNumberFormat="1" applyFont="1" applyBorder="1"/>
    <xf numFmtId="4" fontId="34" fillId="7" borderId="32" xfId="0" applyNumberFormat="1" applyFont="1" applyFill="1" applyBorder="1" applyAlignment="1">
      <alignment horizontal="right"/>
    </xf>
    <xf numFmtId="2" fontId="34" fillId="0" borderId="62" xfId="0" applyNumberFormat="1" applyFont="1" applyBorder="1" applyAlignment="1">
      <alignment horizontal="right"/>
    </xf>
    <xf numFmtId="0" fontId="34" fillId="0" borderId="43" xfId="0" applyFont="1" applyBorder="1"/>
    <xf numFmtId="0" fontId="34" fillId="0" borderId="14" xfId="0" applyFont="1" applyBorder="1"/>
    <xf numFmtId="4" fontId="34" fillId="0" borderId="44" xfId="0" applyNumberFormat="1" applyFont="1" applyBorder="1"/>
    <xf numFmtId="4" fontId="34" fillId="0" borderId="39" xfId="0" applyNumberFormat="1" applyFont="1" applyBorder="1"/>
    <xf numFmtId="4" fontId="34" fillId="0" borderId="63" xfId="0" applyNumberFormat="1" applyFont="1" applyBorder="1"/>
    <xf numFmtId="4" fontId="34" fillId="0" borderId="62" xfId="0" applyNumberFormat="1" applyFont="1" applyBorder="1"/>
    <xf numFmtId="0" fontId="58" fillId="5" borderId="43" xfId="0" applyFont="1" applyFill="1" applyBorder="1"/>
    <xf numFmtId="0" fontId="58" fillId="5" borderId="14" xfId="0" applyFont="1" applyFill="1" applyBorder="1"/>
    <xf numFmtId="4" fontId="58" fillId="5" borderId="44" xfId="0" applyNumberFormat="1" applyFont="1" applyFill="1" applyBorder="1"/>
    <xf numFmtId="4" fontId="58" fillId="5" borderId="39" xfId="0" applyNumberFormat="1" applyFont="1" applyFill="1" applyBorder="1"/>
    <xf numFmtId="2" fontId="58" fillId="5" borderId="39" xfId="0" applyNumberFormat="1" applyFont="1" applyFill="1" applyBorder="1"/>
    <xf numFmtId="2" fontId="58" fillId="5" borderId="63" xfId="0" applyNumberFormat="1" applyFont="1" applyFill="1" applyBorder="1"/>
    <xf numFmtId="0" fontId="34" fillId="2" borderId="4" xfId="0" applyFont="1" applyFill="1" applyBorder="1"/>
    <xf numFmtId="4" fontId="56" fillId="2" borderId="0" xfId="0" applyNumberFormat="1" applyFont="1" applyFill="1" applyBorder="1"/>
    <xf numFmtId="4" fontId="56" fillId="2" borderId="5" xfId="0" applyNumberFormat="1" applyFont="1" applyFill="1" applyBorder="1"/>
    <xf numFmtId="9" fontId="34" fillId="7" borderId="0" xfId="0" applyNumberFormat="1" applyFont="1" applyFill="1" applyBorder="1"/>
    <xf numFmtId="9" fontId="34" fillId="7" borderId="5" xfId="0" applyNumberFormat="1" applyFont="1" applyFill="1" applyBorder="1"/>
    <xf numFmtId="0" fontId="34" fillId="7" borderId="7" xfId="0" applyFont="1" applyFill="1" applyBorder="1"/>
    <xf numFmtId="0" fontId="34" fillId="7" borderId="8" xfId="0" applyFont="1" applyFill="1" applyBorder="1"/>
    <xf numFmtId="9" fontId="34" fillId="7" borderId="8" xfId="2" applyFont="1" applyFill="1" applyBorder="1"/>
    <xf numFmtId="9" fontId="34" fillId="7" borderId="9" xfId="2" applyFont="1" applyFill="1" applyBorder="1"/>
    <xf numFmtId="0" fontId="31" fillId="0" borderId="2" xfId="0" applyFont="1" applyBorder="1"/>
    <xf numFmtId="0" fontId="66" fillId="0" borderId="46" xfId="0" applyFont="1" applyBorder="1" applyAlignment="1">
      <alignment horizontal="right"/>
    </xf>
    <xf numFmtId="0" fontId="66" fillId="0" borderId="5" xfId="0" applyFont="1" applyBorder="1" applyAlignment="1">
      <alignment horizontal="center"/>
    </xf>
    <xf numFmtId="4" fontId="56" fillId="0" borderId="0" xfId="0" applyNumberFormat="1" applyFont="1" applyBorder="1"/>
    <xf numFmtId="4" fontId="56" fillId="13" borderId="0" xfId="0" applyNumberFormat="1" applyFont="1" applyFill="1" applyBorder="1"/>
    <xf numFmtId="4" fontId="56" fillId="13" borderId="5" xfId="0" applyNumberFormat="1" applyFont="1" applyFill="1" applyBorder="1"/>
    <xf numFmtId="0" fontId="31" fillId="13" borderId="7" xfId="0" applyFont="1" applyFill="1" applyBorder="1"/>
    <xf numFmtId="0" fontId="31" fillId="13" borderId="8" xfId="0" applyFont="1" applyFill="1" applyBorder="1"/>
    <xf numFmtId="4" fontId="56" fillId="13" borderId="8" xfId="0" applyNumberFormat="1" applyFont="1" applyFill="1" applyBorder="1"/>
    <xf numFmtId="4" fontId="56" fillId="13" borderId="9" xfId="0" applyNumberFormat="1" applyFont="1" applyFill="1" applyBorder="1"/>
    <xf numFmtId="0" fontId="31" fillId="13" borderId="4" xfId="0" applyFont="1" applyFill="1" applyBorder="1"/>
    <xf numFmtId="0" fontId="31" fillId="13" borderId="0" xfId="0" applyFont="1" applyFill="1" applyBorder="1"/>
    <xf numFmtId="4" fontId="56" fillId="0" borderId="0" xfId="0" applyNumberFormat="1" applyFont="1"/>
    <xf numFmtId="0" fontId="58" fillId="13" borderId="0" xfId="0" applyFont="1" applyFill="1" applyBorder="1"/>
    <xf numFmtId="0" fontId="34" fillId="13" borderId="0" xfId="0" applyFont="1" applyFill="1" applyBorder="1"/>
    <xf numFmtId="0" fontId="56" fillId="13" borderId="0" xfId="0" applyFont="1" applyFill="1"/>
    <xf numFmtId="4" fontId="56" fillId="13" borderId="0" xfId="0" applyNumberFormat="1" applyFont="1" applyFill="1"/>
    <xf numFmtId="2" fontId="56" fillId="13" borderId="0" xfId="0" applyNumberFormat="1" applyFont="1" applyFill="1"/>
    <xf numFmtId="0" fontId="58" fillId="29" borderId="0" xfId="0" applyFont="1" applyFill="1" applyBorder="1"/>
    <xf numFmtId="0" fontId="56" fillId="29" borderId="0" xfId="0" applyFont="1" applyFill="1"/>
    <xf numFmtId="4" fontId="56" fillId="29" borderId="0" xfId="0" applyNumberFormat="1" applyFont="1" applyFill="1"/>
    <xf numFmtId="2" fontId="56" fillId="29" borderId="0" xfId="0" applyNumberFormat="1" applyFont="1" applyFill="1"/>
    <xf numFmtId="0" fontId="56" fillId="0" borderId="10" xfId="0" applyFont="1" applyBorder="1"/>
    <xf numFmtId="0" fontId="56" fillId="0" borderId="13" xfId="0" applyFont="1" applyBorder="1"/>
    <xf numFmtId="0" fontId="56" fillId="0" borderId="13" xfId="0" applyFont="1" applyBorder="1" applyAlignment="1">
      <alignment horizontal="center"/>
    </xf>
    <xf numFmtId="0" fontId="56" fillId="0" borderId="11" xfId="0" applyFont="1" applyBorder="1" applyAlignment="1">
      <alignment horizontal="center"/>
    </xf>
    <xf numFmtId="0" fontId="31" fillId="13" borderId="1" xfId="0" applyFont="1" applyFill="1" applyBorder="1"/>
    <xf numFmtId="0" fontId="31" fillId="13" borderId="2" xfId="0" applyFont="1" applyFill="1" applyBorder="1"/>
    <xf numFmtId="174" fontId="56" fillId="0" borderId="3" xfId="0" applyNumberFormat="1" applyFont="1" applyBorder="1"/>
    <xf numFmtId="8" fontId="56" fillId="0" borderId="0" xfId="6" applyNumberFormat="1" applyFont="1" applyBorder="1"/>
    <xf numFmtId="174" fontId="56" fillId="0" borderId="0" xfId="0" applyNumberFormat="1" applyFont="1" applyBorder="1"/>
    <xf numFmtId="174" fontId="56" fillId="0" borderId="5" xfId="0" applyNumberFormat="1" applyFont="1" applyBorder="1"/>
    <xf numFmtId="0" fontId="56" fillId="0" borderId="8" xfId="0" applyFont="1" applyBorder="1"/>
    <xf numFmtId="174" fontId="56" fillId="0" borderId="8" xfId="0" applyNumberFormat="1" applyFont="1" applyBorder="1"/>
    <xf numFmtId="174" fontId="56" fillId="0" borderId="9" xfId="0" applyNumberFormat="1" applyFont="1" applyBorder="1"/>
    <xf numFmtId="9" fontId="56" fillId="0" borderId="0" xfId="2" applyFont="1"/>
    <xf numFmtId="0" fontId="56" fillId="0" borderId="1" xfId="0" applyFont="1" applyBorder="1"/>
    <xf numFmtId="0" fontId="39" fillId="9" borderId="10" xfId="0" applyFont="1" applyFill="1" applyBorder="1"/>
    <xf numFmtId="0" fontId="42" fillId="9" borderId="13" xfId="0" applyFont="1" applyFill="1" applyBorder="1"/>
    <xf numFmtId="0" fontId="42" fillId="9" borderId="11" xfId="0" applyFont="1" applyFill="1" applyBorder="1"/>
    <xf numFmtId="0" fontId="42" fillId="9" borderId="2" xfId="0" applyFont="1" applyFill="1" applyBorder="1"/>
    <xf numFmtId="0" fontId="42" fillId="9" borderId="3" xfId="0" applyFont="1" applyFill="1" applyBorder="1"/>
    <xf numFmtId="0" fontId="39" fillId="0" borderId="1" xfId="0" applyFont="1" applyBorder="1"/>
    <xf numFmtId="0" fontId="39" fillId="0" borderId="2" xfId="0" applyFont="1" applyBorder="1" applyAlignment="1">
      <alignment horizontal="center"/>
    </xf>
    <xf numFmtId="0" fontId="39" fillId="3" borderId="2" xfId="0" applyFont="1" applyFill="1" applyBorder="1" applyAlignment="1">
      <alignment horizontal="center"/>
    </xf>
    <xf numFmtId="0" fontId="39" fillId="3" borderId="3" xfId="0" applyFont="1" applyFill="1" applyBorder="1" applyAlignment="1">
      <alignment horizontal="center"/>
    </xf>
    <xf numFmtId="0" fontId="39" fillId="0" borderId="4" xfId="0" applyFont="1" applyBorder="1"/>
    <xf numFmtId="0" fontId="39" fillId="0" borderId="0" xfId="0" applyFont="1" applyBorder="1"/>
    <xf numFmtId="0" fontId="39" fillId="3" borderId="0" xfId="0" applyFont="1" applyFill="1" applyBorder="1" applyAlignment="1">
      <alignment horizontal="center"/>
    </xf>
    <xf numFmtId="0" fontId="39" fillId="3" borderId="5" xfId="0" applyFont="1" applyFill="1" applyBorder="1" applyAlignment="1">
      <alignment horizontal="center"/>
    </xf>
    <xf numFmtId="0" fontId="41" fillId="0" borderId="4" xfId="0" applyFont="1" applyBorder="1" applyAlignment="1">
      <alignment horizontal="left" vertical="top" wrapText="1"/>
    </xf>
    <xf numFmtId="2" fontId="39" fillId="0" borderId="0" xfId="0" applyNumberFormat="1" applyFont="1" applyBorder="1" applyAlignment="1">
      <alignment horizontal="right" vertical="top" wrapText="1"/>
    </xf>
    <xf numFmtId="175" fontId="39" fillId="3" borderId="0" xfId="0" applyNumberFormat="1" applyFont="1" applyFill="1" applyBorder="1"/>
    <xf numFmtId="175" fontId="39" fillId="3" borderId="5" xfId="0" applyNumberFormat="1" applyFont="1" applyFill="1" applyBorder="1"/>
    <xf numFmtId="2" fontId="39" fillId="0" borderId="0" xfId="0" applyNumberFormat="1" applyFont="1" applyBorder="1"/>
    <xf numFmtId="2" fontId="39" fillId="0" borderId="5" xfId="0" applyNumberFormat="1" applyFont="1" applyBorder="1"/>
    <xf numFmtId="2" fontId="39" fillId="0" borderId="0" xfId="2" applyNumberFormat="1" applyFont="1" applyBorder="1"/>
    <xf numFmtId="2" fontId="39" fillId="0" borderId="5" xfId="2" applyNumberFormat="1" applyFont="1" applyBorder="1"/>
    <xf numFmtId="0" fontId="41" fillId="0" borderId="7" xfId="0" applyFont="1" applyBorder="1" applyAlignment="1">
      <alignment horizontal="left" vertical="top" wrapText="1"/>
    </xf>
    <xf numFmtId="2" fontId="39" fillId="0" borderId="8" xfId="0" applyNumberFormat="1" applyFont="1" applyBorder="1" applyAlignment="1">
      <alignment horizontal="right" vertical="top" wrapText="1"/>
    </xf>
    <xf numFmtId="175" fontId="39" fillId="3" borderId="8" xfId="0" applyNumberFormat="1" applyFont="1" applyFill="1" applyBorder="1"/>
    <xf numFmtId="175" fontId="39" fillId="3" borderId="9" xfId="0" applyNumberFormat="1" applyFont="1" applyFill="1" applyBorder="1"/>
    <xf numFmtId="2" fontId="39" fillId="0" borderId="8" xfId="0" applyNumberFormat="1" applyFont="1" applyBorder="1"/>
    <xf numFmtId="2" fontId="39" fillId="0" borderId="9" xfId="0" applyNumberFormat="1" applyFont="1" applyBorder="1"/>
    <xf numFmtId="0" fontId="58" fillId="0" borderId="2" xfId="0" applyFont="1" applyBorder="1"/>
    <xf numFmtId="0" fontId="56" fillId="0" borderId="9" xfId="0" applyFont="1" applyBorder="1"/>
    <xf numFmtId="0" fontId="46" fillId="0" borderId="1" xfId="0" applyFont="1" applyBorder="1"/>
    <xf numFmtId="3" fontId="46" fillId="0" borderId="3" xfId="0" applyNumberFormat="1" applyFont="1" applyBorder="1"/>
    <xf numFmtId="0" fontId="46" fillId="0" borderId="4" xfId="0" applyFont="1" applyBorder="1"/>
    <xf numFmtId="0" fontId="46" fillId="0" borderId="0" xfId="0" applyFont="1" applyBorder="1"/>
    <xf numFmtId="4" fontId="56" fillId="7" borderId="5" xfId="0" applyNumberFormat="1" applyFont="1" applyFill="1" applyBorder="1"/>
    <xf numFmtId="2" fontId="56" fillId="0" borderId="5" xfId="0" applyNumberFormat="1" applyFont="1" applyBorder="1"/>
    <xf numFmtId="0" fontId="46" fillId="0" borderId="2" xfId="0" applyFont="1" applyBorder="1"/>
    <xf numFmtId="3" fontId="56" fillId="7" borderId="3" xfId="0" applyNumberFormat="1" applyFont="1" applyFill="1" applyBorder="1"/>
    <xf numFmtId="3" fontId="56" fillId="7" borderId="5" xfId="0" applyNumberFormat="1" applyFont="1" applyFill="1" applyBorder="1"/>
    <xf numFmtId="0" fontId="46" fillId="0" borderId="7" xfId="0" applyFont="1" applyBorder="1"/>
    <xf numFmtId="0" fontId="46" fillId="7" borderId="8" xfId="0" applyFont="1" applyFill="1" applyBorder="1"/>
    <xf numFmtId="3" fontId="56" fillId="7" borderId="9" xfId="0" applyNumberFormat="1" applyFont="1" applyFill="1" applyBorder="1"/>
    <xf numFmtId="0" fontId="46" fillId="0" borderId="8" xfId="0" applyFont="1" applyBorder="1"/>
    <xf numFmtId="4" fontId="56" fillId="7" borderId="9" xfId="0" applyNumberFormat="1" applyFont="1" applyFill="1" applyBorder="1"/>
    <xf numFmtId="2" fontId="56" fillId="0" borderId="9" xfId="0" applyNumberFormat="1" applyFont="1" applyBorder="1" applyAlignment="1">
      <alignment horizontal="right"/>
    </xf>
    <xf numFmtId="3" fontId="56" fillId="0" borderId="9" xfId="0" applyNumberFormat="1" applyFont="1" applyBorder="1"/>
    <xf numFmtId="0" fontId="58" fillId="0" borderId="0" xfId="0" applyFont="1" applyBorder="1"/>
    <xf numFmtId="3" fontId="56" fillId="0" borderId="5" xfId="0" applyNumberFormat="1" applyFont="1" applyBorder="1"/>
    <xf numFmtId="4" fontId="56" fillId="0" borderId="4" xfId="0" applyNumberFormat="1" applyFont="1" applyBorder="1"/>
    <xf numFmtId="1" fontId="56" fillId="0" borderId="0" xfId="0" applyNumberFormat="1" applyFont="1" applyBorder="1"/>
    <xf numFmtId="3" fontId="56" fillId="0" borderId="4" xfId="0" applyNumberFormat="1" applyFont="1" applyBorder="1"/>
    <xf numFmtId="3" fontId="56" fillId="0" borderId="0" xfId="0" applyNumberFormat="1" applyFont="1" applyBorder="1"/>
    <xf numFmtId="3" fontId="56" fillId="0" borderId="2" xfId="0" applyNumberFormat="1" applyFont="1" applyBorder="1"/>
    <xf numFmtId="3" fontId="56" fillId="0" borderId="8" xfId="0" applyNumberFormat="1" applyFont="1" applyBorder="1"/>
    <xf numFmtId="0" fontId="56" fillId="0" borderId="1" xfId="0" applyFont="1" applyBorder="1" applyAlignment="1">
      <alignment horizontal="center"/>
    </xf>
    <xf numFmtId="3" fontId="56" fillId="0" borderId="2" xfId="0" applyNumberFormat="1" applyFont="1" applyBorder="1" applyAlignment="1">
      <alignment horizontal="center"/>
    </xf>
    <xf numFmtId="0" fontId="56" fillId="7" borderId="3" xfId="0" applyFont="1" applyFill="1" applyBorder="1" applyAlignment="1">
      <alignment horizontal="center"/>
    </xf>
    <xf numFmtId="3" fontId="56" fillId="0" borderId="0" xfId="0" applyNumberFormat="1" applyFont="1" applyBorder="1" applyAlignment="1">
      <alignment horizontal="center"/>
    </xf>
    <xf numFmtId="9" fontId="56" fillId="0" borderId="0" xfId="0" applyNumberFormat="1" applyFont="1" applyBorder="1"/>
    <xf numFmtId="3" fontId="56" fillId="0" borderId="4" xfId="0" applyNumberFormat="1" applyFont="1" applyBorder="1" applyAlignment="1">
      <alignment horizontal="right"/>
    </xf>
    <xf numFmtId="4" fontId="56" fillId="0" borderId="0" xfId="2" applyNumberFormat="1" applyFont="1" applyBorder="1"/>
    <xf numFmtId="9" fontId="56" fillId="0" borderId="4" xfId="0" applyNumberFormat="1" applyFont="1" applyBorder="1"/>
    <xf numFmtId="0" fontId="56" fillId="2" borderId="0" xfId="0" applyFont="1" applyFill="1" applyBorder="1"/>
    <xf numFmtId="0" fontId="56" fillId="2" borderId="4" xfId="0" applyFont="1" applyFill="1" applyBorder="1"/>
    <xf numFmtId="0" fontId="56" fillId="2" borderId="5" xfId="0" applyFont="1" applyFill="1" applyBorder="1"/>
    <xf numFmtId="3" fontId="56" fillId="2" borderId="0" xfId="0" applyNumberFormat="1" applyFont="1" applyFill="1" applyBorder="1"/>
    <xf numFmtId="176" fontId="56" fillId="0" borderId="0" xfId="0" applyNumberFormat="1" applyFont="1" applyBorder="1"/>
    <xf numFmtId="0" fontId="46" fillId="0" borderId="3" xfId="0" applyFont="1" applyBorder="1"/>
    <xf numFmtId="1" fontId="56" fillId="0" borderId="8" xfId="0" applyNumberFormat="1" applyFont="1" applyBorder="1"/>
    <xf numFmtId="172" fontId="56" fillId="0" borderId="4" xfId="0" applyNumberFormat="1" applyFont="1" applyBorder="1"/>
    <xf numFmtId="172" fontId="56" fillId="0" borderId="0" xfId="0" applyNumberFormat="1" applyFont="1" applyBorder="1"/>
    <xf numFmtId="10" fontId="56" fillId="0" borderId="0" xfId="0" applyNumberFormat="1" applyFont="1" applyBorder="1"/>
    <xf numFmtId="3" fontId="56" fillId="0" borderId="0" xfId="0" applyNumberFormat="1" applyFont="1" applyFill="1" applyBorder="1"/>
    <xf numFmtId="9" fontId="56" fillId="7" borderId="0" xfId="0" applyNumberFormat="1" applyFont="1" applyFill="1" applyBorder="1"/>
    <xf numFmtId="172" fontId="56" fillId="0" borderId="0" xfId="0" applyNumberFormat="1" applyFont="1" applyFill="1" applyBorder="1"/>
    <xf numFmtId="0" fontId="46" fillId="7" borderId="4" xfId="0" applyFont="1" applyFill="1" applyBorder="1"/>
    <xf numFmtId="0" fontId="46" fillId="7" borderId="0" xfId="0" applyFont="1" applyFill="1" applyBorder="1"/>
    <xf numFmtId="9" fontId="56" fillId="0" borderId="4" xfId="2" applyFont="1" applyBorder="1"/>
    <xf numFmtId="177" fontId="56" fillId="0" borderId="4" xfId="0" applyNumberFormat="1" applyFont="1" applyBorder="1"/>
    <xf numFmtId="178" fontId="56" fillId="0" borderId="0" xfId="0" applyNumberFormat="1" applyFont="1" applyBorder="1"/>
    <xf numFmtId="3" fontId="56" fillId="2" borderId="4" xfId="0" applyNumberFormat="1" applyFont="1" applyFill="1" applyBorder="1"/>
    <xf numFmtId="9" fontId="56" fillId="2" borderId="0" xfId="0" applyNumberFormat="1" applyFont="1" applyFill="1" applyBorder="1"/>
    <xf numFmtId="0" fontId="56" fillId="10" borderId="2" xfId="0" applyFont="1" applyFill="1" applyBorder="1"/>
    <xf numFmtId="0" fontId="56" fillId="10" borderId="1" xfId="0" applyFont="1" applyFill="1" applyBorder="1"/>
    <xf numFmtId="0" fontId="56" fillId="10" borderId="3" xfId="0" applyFont="1" applyFill="1" applyBorder="1"/>
    <xf numFmtId="0" fontId="56" fillId="10" borderId="8" xfId="0" applyFont="1" applyFill="1" applyBorder="1"/>
    <xf numFmtId="0" fontId="56" fillId="10" borderId="7" xfId="0" applyFont="1" applyFill="1" applyBorder="1"/>
    <xf numFmtId="0" fontId="56" fillId="10" borderId="9" xfId="0" applyFont="1" applyFill="1" applyBorder="1"/>
    <xf numFmtId="0" fontId="33" fillId="10" borderId="2" xfId="0" applyFont="1" applyFill="1" applyBorder="1"/>
    <xf numFmtId="0" fontId="44" fillId="10" borderId="2" xfId="0" applyFont="1" applyFill="1" applyBorder="1"/>
    <xf numFmtId="0" fontId="44" fillId="10" borderId="1" xfId="0" applyFont="1" applyFill="1" applyBorder="1"/>
    <xf numFmtId="3" fontId="44" fillId="10" borderId="2" xfId="0" applyNumberFormat="1" applyFont="1" applyFill="1" applyBorder="1"/>
    <xf numFmtId="0" fontId="44" fillId="10" borderId="3" xfId="0" applyFont="1" applyFill="1" applyBorder="1"/>
    <xf numFmtId="3" fontId="44" fillId="10" borderId="8" xfId="0" applyNumberFormat="1" applyFont="1" applyFill="1" applyBorder="1"/>
    <xf numFmtId="0" fontId="44" fillId="10" borderId="9" xfId="0" applyFont="1" applyFill="1" applyBorder="1"/>
    <xf numFmtId="3" fontId="56" fillId="10" borderId="3" xfId="0" applyNumberFormat="1" applyFont="1" applyFill="1" applyBorder="1"/>
    <xf numFmtId="3" fontId="56" fillId="10" borderId="9" xfId="0" applyNumberFormat="1" applyFont="1" applyFill="1" applyBorder="1"/>
    <xf numFmtId="0" fontId="33" fillId="10" borderId="8" xfId="0" applyFont="1" applyFill="1" applyBorder="1"/>
    <xf numFmtId="0" fontId="44" fillId="10" borderId="9" xfId="0" applyFont="1" applyFill="1" applyBorder="1" applyAlignment="1">
      <alignment horizontal="center"/>
    </xf>
    <xf numFmtId="4" fontId="34" fillId="0" borderId="62" xfId="0" applyNumberFormat="1" applyFont="1" applyBorder="1" applyAlignment="1">
      <alignment horizontal="right"/>
    </xf>
    <xf numFmtId="3" fontId="32" fillId="0" borderId="2" xfId="0" applyNumberFormat="1" applyFont="1" applyBorder="1" applyAlignment="1">
      <alignment horizontal="center"/>
    </xf>
    <xf numFmtId="3" fontId="32" fillId="0" borderId="3" xfId="0" applyNumberFormat="1" applyFont="1" applyBorder="1" applyAlignment="1">
      <alignment horizontal="center"/>
    </xf>
    <xf numFmtId="3" fontId="32" fillId="0" borderId="0" xfId="0" applyNumberFormat="1" applyFont="1" applyBorder="1" applyAlignment="1">
      <alignment horizontal="center"/>
    </xf>
    <xf numFmtId="3" fontId="32" fillId="0" borderId="5" xfId="0" applyNumberFormat="1" applyFont="1" applyBorder="1" applyAlignment="1">
      <alignment horizontal="center"/>
    </xf>
    <xf numFmtId="0" fontId="32" fillId="27" borderId="4" xfId="0" applyFont="1" applyFill="1" applyBorder="1"/>
    <xf numFmtId="0" fontId="32" fillId="27" borderId="0" xfId="0" applyFont="1" applyFill="1" applyBorder="1"/>
    <xf numFmtId="3" fontId="32" fillId="27" borderId="0" xfId="0" applyNumberFormat="1" applyFont="1" applyFill="1" applyBorder="1"/>
    <xf numFmtId="3" fontId="32" fillId="27" borderId="5" xfId="0" applyNumberFormat="1" applyFont="1" applyFill="1" applyBorder="1"/>
    <xf numFmtId="9" fontId="32" fillId="0" borderId="4" xfId="0" applyNumberFormat="1" applyFont="1" applyBorder="1"/>
    <xf numFmtId="0" fontId="32" fillId="27" borderId="7" xfId="0" applyFont="1" applyFill="1" applyBorder="1"/>
    <xf numFmtId="0" fontId="32" fillId="27" borderId="8" xfId="0" applyFont="1" applyFill="1" applyBorder="1"/>
    <xf numFmtId="3" fontId="32" fillId="27" borderId="8" xfId="0" applyNumberFormat="1" applyFont="1" applyFill="1" applyBorder="1"/>
    <xf numFmtId="3" fontId="32" fillId="27" borderId="9" xfId="0" applyNumberFormat="1" applyFont="1" applyFill="1" applyBorder="1"/>
    <xf numFmtId="3" fontId="32" fillId="7" borderId="2" xfId="0" applyNumberFormat="1" applyFont="1" applyFill="1" applyBorder="1"/>
    <xf numFmtId="3" fontId="32" fillId="7" borderId="3" xfId="0" applyNumberFormat="1" applyFont="1" applyFill="1" applyBorder="1"/>
    <xf numFmtId="3" fontId="32" fillId="7" borderId="0" xfId="0" applyNumberFormat="1" applyFont="1" applyFill="1" applyBorder="1"/>
    <xf numFmtId="3" fontId="32" fillId="7" borderId="5" xfId="0" applyNumberFormat="1" applyFont="1" applyFill="1" applyBorder="1"/>
    <xf numFmtId="3" fontId="32" fillId="7" borderId="8" xfId="0" applyNumberFormat="1" applyFont="1" applyFill="1" applyBorder="1"/>
    <xf numFmtId="3" fontId="32" fillId="7" borderId="9" xfId="0" applyNumberFormat="1" applyFont="1" applyFill="1" applyBorder="1"/>
    <xf numFmtId="3" fontId="32" fillId="7" borderId="0" xfId="0" applyNumberFormat="1" applyFont="1" applyFill="1"/>
    <xf numFmtId="0" fontId="32" fillId="21" borderId="0" xfId="0" applyFont="1" applyFill="1"/>
    <xf numFmtId="3" fontId="32" fillId="21" borderId="0" xfId="0" applyNumberFormat="1" applyFont="1" applyFill="1"/>
    <xf numFmtId="169" fontId="32" fillId="21" borderId="0" xfId="2" applyNumberFormat="1" applyFont="1" applyFill="1"/>
    <xf numFmtId="10" fontId="32" fillId="7" borderId="0" xfId="2" applyNumberFormat="1" applyFont="1" applyFill="1"/>
    <xf numFmtId="0" fontId="32" fillId="21" borderId="0" xfId="0" applyFont="1" applyFill="1" applyAlignment="1">
      <alignment vertical="top"/>
    </xf>
    <xf numFmtId="0" fontId="32" fillId="21" borderId="0" xfId="0" applyFont="1" applyFill="1" applyAlignment="1">
      <alignment vertical="top" wrapText="1"/>
    </xf>
    <xf numFmtId="10" fontId="32" fillId="21" borderId="0" xfId="2" applyNumberFormat="1" applyFont="1" applyFill="1" applyAlignment="1">
      <alignment vertical="top"/>
    </xf>
    <xf numFmtId="3" fontId="32" fillId="0" borderId="0" xfId="0" applyNumberFormat="1" applyFont="1" applyAlignment="1">
      <alignment vertical="top"/>
    </xf>
    <xf numFmtId="0" fontId="32" fillId="0" borderId="0" xfId="0" applyFont="1" applyAlignment="1">
      <alignment vertical="top"/>
    </xf>
    <xf numFmtId="169" fontId="32" fillId="7" borderId="0" xfId="2" applyNumberFormat="1" applyFont="1" applyFill="1"/>
    <xf numFmtId="0" fontId="34" fillId="7" borderId="0" xfId="0" applyFont="1" applyFill="1" applyAlignment="1">
      <alignment vertical="top"/>
    </xf>
    <xf numFmtId="0" fontId="34" fillId="7" borderId="0" xfId="0" applyFont="1" applyFill="1" applyAlignment="1">
      <alignment vertical="top" wrapText="1"/>
    </xf>
    <xf numFmtId="0" fontId="67" fillId="0" borderId="0" xfId="0" applyFont="1"/>
    <xf numFmtId="1" fontId="32" fillId="7" borderId="0" xfId="2" applyNumberFormat="1" applyFont="1" applyFill="1"/>
    <xf numFmtId="3" fontId="32" fillId="7" borderId="0" xfId="0" applyNumberFormat="1" applyFont="1" applyFill="1" applyAlignment="1">
      <alignment horizontal="right"/>
    </xf>
    <xf numFmtId="177" fontId="32" fillId="7" borderId="0" xfId="0" applyNumberFormat="1" applyFont="1" applyFill="1"/>
    <xf numFmtId="4" fontId="31" fillId="0" borderId="3" xfId="0" applyNumberFormat="1" applyFont="1" applyBorder="1"/>
    <xf numFmtId="0" fontId="56" fillId="7" borderId="0" xfId="0" applyFont="1" applyFill="1" applyBorder="1"/>
    <xf numFmtId="0" fontId="31" fillId="27" borderId="10" xfId="0" applyFont="1" applyFill="1" applyBorder="1"/>
    <xf numFmtId="0" fontId="31" fillId="27" borderId="13" xfId="0" applyFont="1" applyFill="1" applyBorder="1"/>
    <xf numFmtId="4" fontId="31" fillId="27" borderId="13" xfId="0" applyNumberFormat="1" applyFont="1" applyFill="1" applyBorder="1"/>
    <xf numFmtId="4" fontId="31" fillId="27" borderId="11" xfId="0" applyNumberFormat="1" applyFont="1" applyFill="1" applyBorder="1"/>
    <xf numFmtId="0" fontId="58" fillId="7" borderId="4" xfId="0" applyFont="1" applyFill="1" applyBorder="1"/>
    <xf numFmtId="0" fontId="58" fillId="7" borderId="0" xfId="0" applyFont="1" applyFill="1" applyBorder="1"/>
    <xf numFmtId="0" fontId="32" fillId="0" borderId="23" xfId="0" applyFont="1" applyBorder="1"/>
    <xf numFmtId="0" fontId="58" fillId="27" borderId="10" xfId="0" applyFont="1" applyFill="1" applyBorder="1"/>
    <xf numFmtId="0" fontId="34" fillId="27" borderId="13" xfId="0" applyFont="1" applyFill="1" applyBorder="1"/>
    <xf numFmtId="4" fontId="34" fillId="27" borderId="13" xfId="0" applyNumberFormat="1" applyFont="1" applyFill="1" applyBorder="1"/>
    <xf numFmtId="4" fontId="58" fillId="27" borderId="13" xfId="0" applyNumberFormat="1" applyFont="1" applyFill="1" applyBorder="1"/>
    <xf numFmtId="4" fontId="34" fillId="27" borderId="11" xfId="0" applyNumberFormat="1" applyFont="1" applyFill="1" applyBorder="1"/>
    <xf numFmtId="4" fontId="32" fillId="0" borderId="3" xfId="0" applyNumberFormat="1" applyFont="1" applyBorder="1"/>
    <xf numFmtId="0" fontId="31" fillId="27" borderId="1" xfId="0" applyFont="1" applyFill="1" applyBorder="1"/>
    <xf numFmtId="0" fontId="31" fillId="27" borderId="2" xfId="0" applyFont="1" applyFill="1" applyBorder="1"/>
    <xf numFmtId="4" fontId="31" fillId="27" borderId="2" xfId="0" applyNumberFormat="1" applyFont="1" applyFill="1" applyBorder="1"/>
    <xf numFmtId="4" fontId="31" fillId="27" borderId="3" xfId="0" applyNumberFormat="1" applyFont="1" applyFill="1" applyBorder="1"/>
    <xf numFmtId="0" fontId="32" fillId="7" borderId="1" xfId="0" applyFont="1" applyFill="1" applyBorder="1" applyAlignment="1">
      <alignment vertical="top"/>
    </xf>
    <xf numFmtId="0" fontId="32" fillId="7" borderId="2" xfId="0" applyFont="1" applyFill="1" applyBorder="1" applyAlignment="1">
      <alignment vertical="top" wrapText="1"/>
    </xf>
    <xf numFmtId="10" fontId="32" fillId="0" borderId="2" xfId="2" applyNumberFormat="1" applyFont="1" applyBorder="1"/>
    <xf numFmtId="0" fontId="32" fillId="7" borderId="4" xfId="0" applyFont="1" applyFill="1" applyBorder="1" applyAlignment="1">
      <alignment vertical="top"/>
    </xf>
    <xf numFmtId="0" fontId="32" fillId="7" borderId="0" xfId="0" applyFont="1" applyFill="1" applyBorder="1" applyAlignment="1">
      <alignment vertical="top" wrapText="1"/>
    </xf>
    <xf numFmtId="0" fontId="32" fillId="7" borderId="4" xfId="0" applyFont="1" applyFill="1" applyBorder="1"/>
    <xf numFmtId="0" fontId="32" fillId="7" borderId="0" xfId="0" applyFont="1" applyFill="1" applyBorder="1"/>
    <xf numFmtId="0" fontId="34" fillId="7" borderId="4" xfId="0" applyFont="1" applyFill="1" applyBorder="1" applyAlignment="1">
      <alignment vertical="top"/>
    </xf>
    <xf numFmtId="0" fontId="34" fillId="7" borderId="0" xfId="0" applyFont="1" applyFill="1" applyBorder="1" applyAlignment="1">
      <alignment vertical="top" wrapText="1"/>
    </xf>
    <xf numFmtId="0" fontId="32" fillId="27" borderId="0" xfId="0" applyFont="1" applyFill="1" applyBorder="1" applyAlignment="1">
      <alignment horizontal="center"/>
    </xf>
    <xf numFmtId="4" fontId="32" fillId="27" borderId="0" xfId="0" applyNumberFormat="1" applyFont="1" applyFill="1" applyBorder="1"/>
    <xf numFmtId="4" fontId="32" fillId="27" borderId="5" xfId="0" applyNumberFormat="1" applyFont="1" applyFill="1" applyBorder="1"/>
    <xf numFmtId="0" fontId="32" fillId="27" borderId="8" xfId="0" applyFont="1" applyFill="1" applyBorder="1" applyAlignment="1">
      <alignment horizontal="center"/>
    </xf>
    <xf numFmtId="4" fontId="32" fillId="27" borderId="8" xfId="0" applyNumberFormat="1" applyFont="1" applyFill="1" applyBorder="1"/>
    <xf numFmtId="4" fontId="32" fillId="27" borderId="9" xfId="0" applyNumberFormat="1" applyFont="1" applyFill="1" applyBorder="1"/>
    <xf numFmtId="4" fontId="31" fillId="0" borderId="2" xfId="0" applyNumberFormat="1" applyFont="1" applyBorder="1" applyAlignment="1">
      <alignment horizontal="center"/>
    </xf>
    <xf numFmtId="0" fontId="68" fillId="0" borderId="0" xfId="0" applyFont="1"/>
    <xf numFmtId="0" fontId="33" fillId="10" borderId="1" xfId="0" applyFont="1" applyFill="1" applyBorder="1"/>
    <xf numFmtId="0" fontId="33" fillId="10" borderId="3" xfId="0" applyFont="1" applyFill="1" applyBorder="1"/>
    <xf numFmtId="0" fontId="33" fillId="10" borderId="4" xfId="0" applyFont="1" applyFill="1" applyBorder="1"/>
    <xf numFmtId="0" fontId="33" fillId="10" borderId="0" xfId="0" applyFont="1" applyFill="1" applyBorder="1"/>
    <xf numFmtId="0" fontId="33" fillId="10" borderId="5" xfId="0" applyFont="1" applyFill="1" applyBorder="1"/>
    <xf numFmtId="164" fontId="56" fillId="3" borderId="4" xfId="0" applyNumberFormat="1" applyFont="1" applyFill="1" applyBorder="1"/>
    <xf numFmtId="164" fontId="56" fillId="3" borderId="0" xfId="0" applyNumberFormat="1" applyFont="1" applyFill="1" applyBorder="1"/>
    <xf numFmtId="164" fontId="46" fillId="2" borderId="0" xfId="0" applyNumberFormat="1" applyFont="1" applyFill="1" applyAlignment="1">
      <alignment horizontal="left" vertical="top" wrapText="1"/>
    </xf>
    <xf numFmtId="164" fontId="46" fillId="2" borderId="0" xfId="0" applyNumberFormat="1" applyFont="1" applyFill="1" applyAlignment="1">
      <alignment horizontal="right" vertical="top"/>
    </xf>
    <xf numFmtId="164" fontId="56" fillId="3" borderId="5" xfId="0" applyNumberFormat="1" applyFont="1" applyFill="1" applyBorder="1"/>
    <xf numFmtId="0" fontId="56" fillId="2" borderId="0" xfId="0" applyFont="1" applyFill="1" applyAlignment="1">
      <alignment horizontal="left" vertical="top" wrapText="1"/>
    </xf>
    <xf numFmtId="1" fontId="56" fillId="11" borderId="4" xfId="0" applyNumberFormat="1" applyFont="1" applyFill="1" applyBorder="1" applyAlignment="1"/>
    <xf numFmtId="1" fontId="56" fillId="11" borderId="0" xfId="0" applyNumberFormat="1" applyFont="1" applyFill="1" applyBorder="1" applyAlignment="1"/>
    <xf numFmtId="1" fontId="56" fillId="28" borderId="0" xfId="0" applyNumberFormat="1" applyFont="1" applyFill="1" applyBorder="1" applyAlignment="1"/>
    <xf numFmtId="1" fontId="56" fillId="28" borderId="5" xfId="0" applyNumberFormat="1" applyFont="1" applyFill="1" applyBorder="1" applyAlignment="1"/>
    <xf numFmtId="0" fontId="56" fillId="3" borderId="7" xfId="0" applyFont="1" applyFill="1" applyBorder="1"/>
    <xf numFmtId="0" fontId="56" fillId="3" borderId="8" xfId="0" applyFont="1" applyFill="1" applyBorder="1"/>
    <xf numFmtId="1" fontId="56" fillId="3" borderId="8" xfId="0" applyNumberFormat="1" applyFont="1" applyFill="1" applyBorder="1"/>
    <xf numFmtId="0" fontId="56" fillId="3" borderId="9" xfId="0" applyFont="1" applyFill="1" applyBorder="1"/>
    <xf numFmtId="1" fontId="56" fillId="3" borderId="0" xfId="0" applyNumberFormat="1" applyFont="1" applyFill="1"/>
    <xf numFmtId="4" fontId="57" fillId="0" borderId="0" xfId="0" applyNumberFormat="1" applyFont="1" applyAlignment="1">
      <alignment horizontal="left" vertical="top" wrapText="1"/>
    </xf>
    <xf numFmtId="169" fontId="56" fillId="3" borderId="0" xfId="2" applyNumberFormat="1" applyFont="1" applyFill="1"/>
    <xf numFmtId="0" fontId="56" fillId="3" borderId="2" xfId="0" applyFont="1" applyFill="1" applyBorder="1"/>
    <xf numFmtId="0" fontId="56" fillId="3" borderId="3" xfId="0" applyFont="1" applyFill="1" applyBorder="1"/>
    <xf numFmtId="175" fontId="56" fillId="3" borderId="5" xfId="0" applyNumberFormat="1" applyFont="1" applyFill="1" applyBorder="1"/>
    <xf numFmtId="175" fontId="56" fillId="3" borderId="0" xfId="0" applyNumberFormat="1" applyFont="1" applyFill="1" applyBorder="1"/>
    <xf numFmtId="4" fontId="56" fillId="3" borderId="5" xfId="0" applyNumberFormat="1" applyFont="1" applyFill="1" applyBorder="1"/>
    <xf numFmtId="4" fontId="56" fillId="3" borderId="0" xfId="0" applyNumberFormat="1" applyFont="1" applyFill="1" applyBorder="1"/>
    <xf numFmtId="164" fontId="46" fillId="0" borderId="0" xfId="0" applyNumberFormat="1" applyFont="1" applyAlignment="1">
      <alignment horizontal="right" vertical="top"/>
    </xf>
    <xf numFmtId="166" fontId="46" fillId="0" borderId="0" xfId="0" applyNumberFormat="1" applyFont="1" applyAlignment="1">
      <alignment horizontal="right" vertical="top"/>
    </xf>
    <xf numFmtId="0" fontId="44" fillId="9" borderId="2" xfId="0" applyFont="1" applyFill="1" applyBorder="1"/>
    <xf numFmtId="0" fontId="44" fillId="9" borderId="3" xfId="0" applyFont="1" applyFill="1" applyBorder="1"/>
    <xf numFmtId="0" fontId="44" fillId="9" borderId="4" xfId="0" applyFont="1" applyFill="1" applyBorder="1"/>
    <xf numFmtId="3" fontId="44" fillId="9" borderId="0" xfId="0" applyNumberFormat="1" applyFont="1" applyFill="1" applyBorder="1"/>
    <xf numFmtId="3" fontId="44" fillId="9" borderId="5" xfId="0" applyNumberFormat="1" applyFont="1" applyFill="1" applyBorder="1"/>
    <xf numFmtId="3" fontId="44" fillId="7" borderId="0" xfId="0" applyNumberFormat="1" applyFont="1" applyFill="1" applyBorder="1"/>
    <xf numFmtId="3" fontId="44" fillId="7" borderId="5" xfId="0" applyNumberFormat="1" applyFont="1" applyFill="1" applyBorder="1"/>
    <xf numFmtId="3" fontId="34" fillId="7" borderId="8" xfId="0" applyNumberFormat="1" applyFont="1" applyFill="1" applyBorder="1"/>
    <xf numFmtId="3" fontId="34" fillId="7" borderId="9" xfId="0" applyNumberFormat="1" applyFont="1" applyFill="1" applyBorder="1"/>
    <xf numFmtId="0" fontId="44" fillId="7" borderId="4" xfId="0" applyFont="1" applyFill="1" applyBorder="1"/>
    <xf numFmtId="3" fontId="44" fillId="10" borderId="0" xfId="0" applyNumberFormat="1" applyFont="1" applyFill="1" applyBorder="1"/>
    <xf numFmtId="3" fontId="69" fillId="10" borderId="0" xfId="0" applyNumberFormat="1" applyFont="1" applyFill="1" applyBorder="1"/>
    <xf numFmtId="3" fontId="69" fillId="10" borderId="5" xfId="0" applyNumberFormat="1" applyFont="1" applyFill="1" applyBorder="1"/>
    <xf numFmtId="3" fontId="44" fillId="10" borderId="9" xfId="0" applyNumberFormat="1" applyFont="1" applyFill="1" applyBorder="1"/>
    <xf numFmtId="10" fontId="34" fillId="7" borderId="0" xfId="2" applyNumberFormat="1" applyFont="1" applyFill="1" applyBorder="1"/>
    <xf numFmtId="9" fontId="34" fillId="7" borderId="0" xfId="2" applyFont="1" applyFill="1" applyBorder="1"/>
    <xf numFmtId="9" fontId="34" fillId="7" borderId="5" xfId="2" applyFont="1" applyFill="1" applyBorder="1"/>
    <xf numFmtId="3" fontId="44" fillId="10" borderId="5" xfId="0" applyNumberFormat="1" applyFont="1" applyFill="1" applyBorder="1"/>
    <xf numFmtId="0" fontId="32" fillId="11" borderId="4" xfId="0" applyFont="1" applyFill="1" applyBorder="1"/>
    <xf numFmtId="3" fontId="32" fillId="11" borderId="0" xfId="0" applyNumberFormat="1" applyFont="1" applyFill="1" applyBorder="1"/>
    <xf numFmtId="0" fontId="46" fillId="0" borderId="0" xfId="0" applyFont="1" applyAlignment="1">
      <alignment horizontal="left" vertical="top"/>
    </xf>
    <xf numFmtId="0" fontId="66" fillId="0" borderId="4" xfId="0" applyFont="1" applyBorder="1" applyAlignment="1">
      <alignment horizontal="left"/>
    </xf>
    <xf numFmtId="0" fontId="66" fillId="0" borderId="0" xfId="0" applyFont="1" applyBorder="1" applyAlignment="1">
      <alignment horizontal="left"/>
    </xf>
    <xf numFmtId="0" fontId="66" fillId="0" borderId="32" xfId="0" applyFont="1" applyBorder="1" applyAlignment="1">
      <alignment horizontal="right"/>
    </xf>
    <xf numFmtId="0" fontId="66" fillId="2" borderId="4" xfId="0" applyFont="1" applyFill="1" applyBorder="1" applyAlignment="1">
      <alignment horizontal="left"/>
    </xf>
    <xf numFmtId="0" fontId="66" fillId="2" borderId="0" xfId="0" applyFont="1" applyFill="1" applyBorder="1" applyAlignment="1">
      <alignment horizontal="left"/>
    </xf>
    <xf numFmtId="2" fontId="66" fillId="2" borderId="32" xfId="0" applyNumberFormat="1" applyFont="1" applyFill="1" applyBorder="1" applyAlignment="1">
      <alignment horizontal="right"/>
    </xf>
    <xf numFmtId="0" fontId="66" fillId="2" borderId="32" xfId="0" applyFont="1" applyFill="1" applyBorder="1" applyAlignment="1">
      <alignment horizontal="right"/>
    </xf>
    <xf numFmtId="0" fontId="56" fillId="0" borderId="40" xfId="0" applyFont="1" applyBorder="1"/>
    <xf numFmtId="10" fontId="66" fillId="0" borderId="14" xfId="0" applyNumberFormat="1" applyFont="1" applyBorder="1" applyAlignment="1">
      <alignment horizontal="left"/>
    </xf>
    <xf numFmtId="4" fontId="34" fillId="7" borderId="36" xfId="0" applyNumberFormat="1" applyFont="1" applyFill="1" applyBorder="1" applyAlignment="1">
      <alignment horizontal="right"/>
    </xf>
    <xf numFmtId="0" fontId="58" fillId="5" borderId="4" xfId="0" applyFont="1" applyFill="1" applyBorder="1"/>
    <xf numFmtId="0" fontId="58" fillId="5" borderId="0" xfId="0" applyFont="1" applyFill="1" applyBorder="1"/>
    <xf numFmtId="4" fontId="58" fillId="5" borderId="17" xfId="0" applyNumberFormat="1" applyFont="1" applyFill="1" applyBorder="1"/>
    <xf numFmtId="4" fontId="58" fillId="5" borderId="32" xfId="0" applyNumberFormat="1" applyFont="1" applyFill="1" applyBorder="1"/>
    <xf numFmtId="2" fontId="58" fillId="5" borderId="32" xfId="0" applyNumberFormat="1" applyFont="1" applyFill="1" applyBorder="1"/>
    <xf numFmtId="0" fontId="34" fillId="8" borderId="0" xfId="0" applyFont="1" applyFill="1" applyBorder="1"/>
    <xf numFmtId="9" fontId="34" fillId="8" borderId="0" xfId="0" applyNumberFormat="1" applyFont="1" applyFill="1" applyBorder="1"/>
    <xf numFmtId="9" fontId="34" fillId="8" borderId="0" xfId="2" applyFont="1" applyFill="1" applyBorder="1"/>
    <xf numFmtId="4" fontId="34" fillId="8" borderId="0" xfId="0" applyNumberFormat="1" applyFont="1" applyFill="1" applyBorder="1"/>
    <xf numFmtId="4" fontId="34" fillId="7" borderId="0" xfId="0" applyNumberFormat="1" applyFont="1" applyFill="1" applyBorder="1"/>
    <xf numFmtId="167" fontId="32" fillId="0" borderId="0" xfId="0" applyNumberFormat="1" applyFont="1"/>
    <xf numFmtId="10" fontId="34" fillId="7" borderId="0" xfId="0" applyNumberFormat="1" applyFont="1" applyFill="1" applyBorder="1"/>
    <xf numFmtId="4" fontId="34" fillId="7" borderId="0" xfId="2" applyNumberFormat="1" applyFont="1" applyFill="1" applyBorder="1"/>
    <xf numFmtId="0" fontId="46" fillId="12" borderId="4" xfId="0" applyFont="1" applyFill="1" applyBorder="1"/>
    <xf numFmtId="0" fontId="56" fillId="12" borderId="0" xfId="0" applyFont="1" applyFill="1" applyBorder="1"/>
    <xf numFmtId="4" fontId="56" fillId="12" borderId="0" xfId="0" applyNumberFormat="1" applyFont="1" applyFill="1" applyBorder="1"/>
    <xf numFmtId="0" fontId="31" fillId="12" borderId="10" xfId="0" applyFont="1" applyFill="1" applyBorder="1"/>
    <xf numFmtId="0" fontId="31" fillId="12" borderId="13" xfId="0" applyFont="1" applyFill="1" applyBorder="1"/>
    <xf numFmtId="4" fontId="56" fillId="12" borderId="13" xfId="0" applyNumberFormat="1" applyFont="1" applyFill="1" applyBorder="1"/>
    <xf numFmtId="0" fontId="58" fillId="12" borderId="0" xfId="0" applyFont="1" applyFill="1" applyBorder="1"/>
    <xf numFmtId="4" fontId="56" fillId="12" borderId="0" xfId="0" applyNumberFormat="1" applyFont="1" applyFill="1"/>
    <xf numFmtId="0" fontId="56" fillId="12" borderId="0" xfId="0" applyFont="1" applyFill="1"/>
    <xf numFmtId="0" fontId="58" fillId="12" borderId="10" xfId="0" applyFont="1" applyFill="1" applyBorder="1"/>
    <xf numFmtId="0" fontId="34" fillId="12" borderId="13" xfId="0" applyFont="1" applyFill="1" applyBorder="1"/>
    <xf numFmtId="0" fontId="56" fillId="12" borderId="13" xfId="0" applyFont="1" applyFill="1" applyBorder="1"/>
    <xf numFmtId="4" fontId="56" fillId="12" borderId="11" xfId="0" applyNumberFormat="1" applyFont="1" applyFill="1" applyBorder="1"/>
    <xf numFmtId="170" fontId="56" fillId="0" borderId="0" xfId="0" applyNumberFormat="1" applyFont="1"/>
    <xf numFmtId="2" fontId="56" fillId="7" borderId="0" xfId="0" applyNumberFormat="1" applyFont="1" applyFill="1"/>
    <xf numFmtId="10" fontId="56" fillId="7" borderId="0" xfId="0" applyNumberFormat="1" applyFont="1" applyFill="1"/>
    <xf numFmtId="171" fontId="56" fillId="7" borderId="0" xfId="0" applyNumberFormat="1" applyFont="1" applyFill="1"/>
    <xf numFmtId="4" fontId="56" fillId="7" borderId="0" xfId="0" applyNumberFormat="1" applyFont="1" applyFill="1"/>
    <xf numFmtId="0" fontId="46" fillId="0" borderId="10" xfId="0" applyFont="1" applyBorder="1"/>
    <xf numFmtId="4" fontId="56" fillId="0" borderId="11" xfId="0" applyNumberFormat="1" applyFont="1" applyBorder="1"/>
    <xf numFmtId="0" fontId="58" fillId="14" borderId="0" xfId="0" applyFont="1" applyFill="1" applyBorder="1"/>
    <xf numFmtId="0" fontId="58" fillId="14" borderId="10" xfId="0" applyFont="1" applyFill="1" applyBorder="1"/>
    <xf numFmtId="0" fontId="58" fillId="14" borderId="13" xfId="0" applyFont="1" applyFill="1" applyBorder="1"/>
    <xf numFmtId="4" fontId="56" fillId="14" borderId="11" xfId="0" applyNumberFormat="1" applyFont="1" applyFill="1" applyBorder="1"/>
    <xf numFmtId="0" fontId="56" fillId="7" borderId="0" xfId="0" applyFont="1" applyFill="1"/>
    <xf numFmtId="0" fontId="46" fillId="3" borderId="1" xfId="0" applyFont="1" applyFill="1" applyBorder="1"/>
    <xf numFmtId="0" fontId="46" fillId="3" borderId="4" xfId="0" applyFont="1" applyFill="1" applyBorder="1"/>
    <xf numFmtId="43" fontId="27" fillId="0" borderId="8" xfId="1" applyFont="1" applyBorder="1"/>
    <xf numFmtId="166" fontId="27" fillId="0" borderId="2" xfId="0" applyNumberFormat="1" applyFont="1" applyBorder="1" applyAlignment="1">
      <alignment horizontal="center"/>
    </xf>
    <xf numFmtId="166" fontId="27" fillId="0" borderId="2" xfId="0" applyNumberFormat="1" applyFont="1" applyBorder="1"/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9" fontId="27" fillId="0" borderId="5" xfId="2" applyNumberFormat="1" applyFont="1" applyBorder="1"/>
    <xf numFmtId="9" fontId="27" fillId="2" borderId="5" xfId="2" applyFont="1" applyFill="1" applyBorder="1"/>
    <xf numFmtId="0" fontId="35" fillId="0" borderId="4" xfId="0" applyFont="1" applyBorder="1"/>
    <xf numFmtId="3" fontId="35" fillId="0" borderId="0" xfId="0" applyNumberFormat="1" applyFont="1" applyBorder="1"/>
    <xf numFmtId="0" fontId="27" fillId="0" borderId="24" xfId="0" applyFont="1" applyBorder="1"/>
    <xf numFmtId="0" fontId="27" fillId="0" borderId="19" xfId="0" applyFont="1" applyBorder="1"/>
    <xf numFmtId="3" fontId="27" fillId="0" borderId="19" xfId="0" applyNumberFormat="1" applyFont="1" applyBorder="1"/>
    <xf numFmtId="3" fontId="27" fillId="0" borderId="25" xfId="0" applyNumberFormat="1" applyFont="1" applyBorder="1"/>
    <xf numFmtId="3" fontId="27" fillId="0" borderId="19" xfId="2" applyNumberFormat="1" applyFont="1" applyBorder="1"/>
    <xf numFmtId="3" fontId="27" fillId="0" borderId="25" xfId="2" applyNumberFormat="1" applyFont="1" applyBorder="1"/>
    <xf numFmtId="0" fontId="27" fillId="4" borderId="0" xfId="0" applyFont="1" applyFill="1" applyBorder="1"/>
    <xf numFmtId="2" fontId="58" fillId="7" borderId="0" xfId="0" applyNumberFormat="1" applyFont="1" applyFill="1"/>
    <xf numFmtId="8" fontId="44" fillId="10" borderId="0" xfId="0" applyNumberFormat="1" applyFont="1" applyFill="1" applyBorder="1"/>
    <xf numFmtId="8" fontId="34" fillId="7" borderId="0" xfId="0" applyNumberFormat="1" applyFont="1" applyFill="1" applyBorder="1"/>
    <xf numFmtId="10" fontId="71" fillId="10" borderId="1" xfId="0" applyNumberFormat="1" applyFont="1" applyFill="1" applyBorder="1" applyAlignment="1">
      <alignment horizontal="left"/>
    </xf>
    <xf numFmtId="10" fontId="71" fillId="10" borderId="2" xfId="0" applyNumberFormat="1" applyFont="1" applyFill="1" applyBorder="1" applyAlignment="1">
      <alignment horizontal="left"/>
    </xf>
    <xf numFmtId="0" fontId="71" fillId="10" borderId="2" xfId="0" applyFont="1" applyFill="1" applyBorder="1" applyAlignment="1">
      <alignment horizontal="right"/>
    </xf>
    <xf numFmtId="0" fontId="71" fillId="10" borderId="0" xfId="0" applyFont="1" applyFill="1" applyAlignment="1">
      <alignment horizontal="left"/>
    </xf>
    <xf numFmtId="10" fontId="71" fillId="10" borderId="0" xfId="0" applyNumberFormat="1" applyFont="1" applyFill="1"/>
    <xf numFmtId="0" fontId="71" fillId="10" borderId="0" xfId="0" applyFont="1" applyFill="1" applyAlignment="1">
      <alignment horizontal="right"/>
    </xf>
    <xf numFmtId="10" fontId="71" fillId="10" borderId="0" xfId="0" applyNumberFormat="1" applyFont="1" applyFill="1" applyAlignment="1">
      <alignment horizontal="left"/>
    </xf>
    <xf numFmtId="4" fontId="46" fillId="7" borderId="0" xfId="0" applyNumberFormat="1" applyFont="1" applyFill="1" applyBorder="1"/>
    <xf numFmtId="4" fontId="46" fillId="7" borderId="5" xfId="0" applyNumberFormat="1" applyFont="1" applyFill="1" applyBorder="1"/>
    <xf numFmtId="0" fontId="25" fillId="5" borderId="10" xfId="3" applyFont="1" applyBorder="1">
      <alignment horizontal="left" wrapText="1"/>
    </xf>
    <xf numFmtId="0" fontId="25" fillId="5" borderId="13" xfId="3" applyFont="1" applyBorder="1">
      <alignment horizontal="left" wrapText="1"/>
    </xf>
    <xf numFmtId="0" fontId="25" fillId="5" borderId="11" xfId="3" applyFont="1" applyBorder="1">
      <alignment horizontal="left" wrapText="1"/>
    </xf>
  </cellXfs>
  <cellStyles count="7">
    <cellStyle name="Cabeceras" xfId="4"/>
    <cellStyle name="Millares" xfId="1" builtinId="3"/>
    <cellStyle name="Moneda" xfId="6" builtinId="4"/>
    <cellStyle name="Normal" xfId="0" builtinId="0"/>
    <cellStyle name="numero" xfId="5"/>
    <cellStyle name="Porcentaje" xfId="2" builtinId="5"/>
    <cellStyle name="Titula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e.es/boe/dias/2013/12/26/pdfs/BOE-A-2013-13616.pdf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app.bde.es/clf_www/leyes.jsp?id=116371&amp;fc=03-01-2013&amp;tipoEnt=0" TargetMode="External"/><Relationship Id="rId6" Type="http://schemas.openxmlformats.org/officeDocument/2006/relationships/hyperlink" Target="https://www.boe.es/boe/dias/2017/06/28/pdfs/BOE-A-2017-7387.pdf" TargetMode="External"/><Relationship Id="rId5" Type="http://schemas.openxmlformats.org/officeDocument/2006/relationships/hyperlink" Target="http://www.boe.es/boe/dias/2015/10/30/pdfs/BOE-A-2015-11644.pdf" TargetMode="External"/><Relationship Id="rId4" Type="http://schemas.openxmlformats.org/officeDocument/2006/relationships/hyperlink" Target="https://www.boe.es/boe/dias/2014/12/30/pdfs/BOE-A-2014-13612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26</xdr:row>
      <xdr:rowOff>0</xdr:rowOff>
    </xdr:from>
    <xdr:to>
      <xdr:col>12</xdr:col>
      <xdr:colOff>57150</xdr:colOff>
      <xdr:row>26</xdr:row>
      <xdr:rowOff>114300</xdr:rowOff>
    </xdr:to>
    <xdr:pic>
      <xdr:nvPicPr>
        <xdr:cNvPr id="2" name="Imatge 1" descr="Abre en nueva ventan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700627-D6BA-4328-A5DA-6EB091F4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5724525"/>
          <a:ext cx="571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57150</xdr:colOff>
      <xdr:row>27</xdr:row>
      <xdr:rowOff>114300</xdr:rowOff>
    </xdr:to>
    <xdr:pic>
      <xdr:nvPicPr>
        <xdr:cNvPr id="3" name="Imatge 2" descr="Abre en nueva ventana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C3D049A1-9A4C-454E-BAF9-2DE8A5E9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5934075"/>
          <a:ext cx="571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57150</xdr:colOff>
      <xdr:row>28</xdr:row>
      <xdr:rowOff>114300</xdr:rowOff>
    </xdr:to>
    <xdr:pic>
      <xdr:nvPicPr>
        <xdr:cNvPr id="4" name="Imatge 3" descr="Abre en nueva ventana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id="{65604136-3C0B-4E55-AA44-437B02035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6143625"/>
          <a:ext cx="571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57150</xdr:colOff>
      <xdr:row>29</xdr:row>
      <xdr:rowOff>114300</xdr:rowOff>
    </xdr:to>
    <xdr:pic>
      <xdr:nvPicPr>
        <xdr:cNvPr id="5" name="Imatge 4" descr="Abre en nueva ventana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53F91595-6C2F-4874-95B1-136B26FA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6353175"/>
          <a:ext cx="571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57150</xdr:colOff>
      <xdr:row>30</xdr:row>
      <xdr:rowOff>114300</xdr:rowOff>
    </xdr:to>
    <xdr:pic>
      <xdr:nvPicPr>
        <xdr:cNvPr id="6" name="Imatge 5" descr="Abre en nueva ventana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id="{27FA2210-F8A8-4B83-995F-E66C9FE4F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6562725"/>
          <a:ext cx="571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ert\Documents\Mis%20documentos\DOCENCIA\DICTAMENS\CASOS\SOLUCIONES\SOLUCI&#211;N%20%20BINGO%20ALTAM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\Documents\DOCENCIA\CURSOS%20I%20APUNTS\DICTAMENS\2017%20CURS%20DICTAMENS%20CEC\B3%20SOLUCION%20%20SUPERMERCADOS%20DEL%20NORTE%20SL%20EXCEL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\Documents\DOCENCIA\CURSOS%20I%20APUNTS\DICTAMENS\2017%20CURS%20DICTAMENS%20CEC\B4%20SOLUCI&#211;N%20ESCUDERO%20SAT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\Documents\DOCENCIA\CURSOS%20I%20APUNTS\DICTAMENS\2014%20CURS%20DICTAMENS\B2%20SOLUCI&#211;N%20MARC%20&amp;%20MAX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inmovilizado "/>
      <sheetName val="SOLUCIÓN"/>
    </sheetNames>
    <sheetDataSet>
      <sheetData sheetId="0">
        <row r="30">
          <cell r="B30">
            <v>48718</v>
          </cell>
          <cell r="C30">
            <v>49852</v>
          </cell>
          <cell r="D30">
            <v>51380</v>
          </cell>
          <cell r="E30">
            <v>59022</v>
          </cell>
          <cell r="F30">
            <v>62117</v>
          </cell>
        </row>
        <row r="32">
          <cell r="B32">
            <v>21279</v>
          </cell>
          <cell r="C32">
            <v>108802</v>
          </cell>
          <cell r="D32">
            <v>30840</v>
          </cell>
          <cell r="E32">
            <v>15067</v>
          </cell>
          <cell r="F32">
            <v>160435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"/>
      <sheetName val="SOLUCIÓN SOBRANTE MENOS DEUDA"/>
      <sheetName val="SOLUCION SOBRANTE MENOS CAPITAL"/>
      <sheetName val="SOLUCION CAJA NECESARIA"/>
    </sheetNames>
    <sheetDataSet>
      <sheetData sheetId="0">
        <row r="49">
          <cell r="G49">
            <v>1092.8074999999999</v>
          </cell>
        </row>
        <row r="50">
          <cell r="G50">
            <v>171.83043749999979</v>
          </cell>
        </row>
        <row r="51">
          <cell r="G51">
            <v>376.37024999999994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ESCUDERO 1"/>
      <sheetName val="escuredo 2 "/>
    </sheetNames>
    <sheetDataSet>
      <sheetData sheetId="0">
        <row r="4">
          <cell r="F4">
            <v>112275</v>
          </cell>
        </row>
        <row r="28">
          <cell r="F28">
            <v>145535</v>
          </cell>
        </row>
        <row r="30">
          <cell r="F30">
            <v>12227</v>
          </cell>
        </row>
      </sheetData>
      <sheetData sheetId="1" refreshError="1"/>
      <sheetData sheetId="2">
        <row r="15">
          <cell r="B15">
            <v>12227</v>
          </cell>
          <cell r="C15">
            <v>12227</v>
          </cell>
          <cell r="D15">
            <v>12227</v>
          </cell>
          <cell r="E15">
            <v>12227</v>
          </cell>
          <cell r="F15">
            <v>12227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20"/>
      <sheetName val="MYM DATOS 20"/>
      <sheetName val="MYM M&amp;M"/>
      <sheetName val="COMPARACIONES "/>
      <sheetName val="METODOS VALORACIÓN "/>
      <sheetName val="M. DINAMICOS VALOR RESIDUAL "/>
      <sheetName val="BOLSA DE MADRID "/>
    </sheetNames>
    <sheetDataSet>
      <sheetData sheetId="0">
        <row r="26">
          <cell r="C26">
            <v>7.5</v>
          </cell>
        </row>
        <row r="27">
          <cell r="B27">
            <v>203.3</v>
          </cell>
          <cell r="C27">
            <v>21.3</v>
          </cell>
          <cell r="D27">
            <v>298.75</v>
          </cell>
        </row>
        <row r="55">
          <cell r="F55">
            <v>28.039285714285722</v>
          </cell>
        </row>
        <row r="111">
          <cell r="F111">
            <v>8.6071428571428577</v>
          </cell>
        </row>
        <row r="112">
          <cell r="F112">
            <v>33.11</v>
          </cell>
        </row>
      </sheetData>
      <sheetData sheetId="1">
        <row r="86">
          <cell r="C86">
            <v>187</v>
          </cell>
        </row>
        <row r="87">
          <cell r="C87">
            <v>195.88</v>
          </cell>
        </row>
      </sheetData>
      <sheetData sheetId="2">
        <row r="14">
          <cell r="C14">
            <v>101.88</v>
          </cell>
        </row>
        <row r="23">
          <cell r="C23">
            <v>14.765000000000001</v>
          </cell>
        </row>
        <row r="51">
          <cell r="B51">
            <v>1.032</v>
          </cell>
        </row>
      </sheetData>
      <sheetData sheetId="3">
        <row r="6">
          <cell r="B6">
            <v>154</v>
          </cell>
          <cell r="F6">
            <v>154</v>
          </cell>
          <cell r="G6">
            <v>149.38366666666667</v>
          </cell>
        </row>
        <row r="7">
          <cell r="B7">
            <v>0.94</v>
          </cell>
          <cell r="F7">
            <v>0.94</v>
          </cell>
          <cell r="G7">
            <v>0.24666666666666667</v>
          </cell>
        </row>
        <row r="8">
          <cell r="B8">
            <v>90.349000000000004</v>
          </cell>
          <cell r="F8">
            <v>101.88</v>
          </cell>
          <cell r="G8">
            <v>101.205</v>
          </cell>
        </row>
        <row r="9">
          <cell r="B9">
            <v>5.5339999999999998</v>
          </cell>
          <cell r="F9">
            <v>4.9109999999999996</v>
          </cell>
          <cell r="G9">
            <v>4.7429999999999994</v>
          </cell>
        </row>
        <row r="10">
          <cell r="B10">
            <v>1.04</v>
          </cell>
          <cell r="F10">
            <v>1.04</v>
          </cell>
          <cell r="G10">
            <v>0.32333333333333342</v>
          </cell>
        </row>
        <row r="11">
          <cell r="B11">
            <v>16.989999999999998</v>
          </cell>
          <cell r="F11">
            <v>16.989999999999998</v>
          </cell>
          <cell r="G11">
            <v>1.073333333333333</v>
          </cell>
        </row>
        <row r="12">
          <cell r="B12">
            <v>15.326165522226239</v>
          </cell>
          <cell r="F12">
            <v>19.745265729993893</v>
          </cell>
          <cell r="G12">
            <v>21.169159254616012</v>
          </cell>
        </row>
        <row r="13">
          <cell r="B13">
            <v>8.0960000000000001</v>
          </cell>
          <cell r="F13">
            <v>8.0960000000000001</v>
          </cell>
          <cell r="G13">
            <v>7.9470000000000001</v>
          </cell>
        </row>
        <row r="14">
          <cell r="B14">
            <v>2</v>
          </cell>
          <cell r="F14">
            <v>2</v>
          </cell>
          <cell r="G14">
            <v>2</v>
          </cell>
        </row>
        <row r="21">
          <cell r="B21">
            <v>3</v>
          </cell>
          <cell r="C21">
            <v>14.626666666666667</v>
          </cell>
        </row>
        <row r="22">
          <cell r="B22">
            <v>138</v>
          </cell>
        </row>
        <row r="23">
          <cell r="B23">
            <v>34</v>
          </cell>
        </row>
      </sheetData>
      <sheetData sheetId="4">
        <row r="23">
          <cell r="I23">
            <v>34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6"/>
  <sheetViews>
    <sheetView showGridLines="0" tabSelected="1" workbookViewId="0">
      <selection activeCell="G15" sqref="G15"/>
    </sheetView>
  </sheetViews>
  <sheetFormatPr baseColWidth="10" defaultColWidth="9.140625" defaultRowHeight="15.75" x14ac:dyDescent="0.25"/>
  <cols>
    <col min="1" max="1" width="14" style="289" customWidth="1"/>
    <col min="2" max="2" width="43.42578125" style="289" customWidth="1"/>
    <col min="3" max="3" width="31.28515625" style="289" customWidth="1"/>
    <col min="4" max="4" width="12.7109375" style="758" customWidth="1"/>
    <col min="5" max="5" width="12.85546875" style="758" customWidth="1"/>
    <col min="6" max="6" width="9.140625" style="758"/>
    <col min="7" max="7" width="10.5703125" style="758" customWidth="1"/>
    <col min="8" max="17" width="9.140625" style="758"/>
    <col min="18" max="246" width="9.140625" style="289"/>
    <col min="247" max="247" width="14" style="289" customWidth="1"/>
    <col min="248" max="248" width="43.42578125" style="289" customWidth="1"/>
    <col min="249" max="249" width="31.28515625" style="289" customWidth="1"/>
    <col min="250" max="250" width="12.7109375" style="289" customWidth="1"/>
    <col min="251" max="251" width="12.85546875" style="289" customWidth="1"/>
    <col min="252" max="502" width="9.140625" style="289"/>
    <col min="503" max="503" width="14" style="289" customWidth="1"/>
    <col min="504" max="504" width="43.42578125" style="289" customWidth="1"/>
    <col min="505" max="505" width="31.28515625" style="289" customWidth="1"/>
    <col min="506" max="506" width="12.7109375" style="289" customWidth="1"/>
    <col min="507" max="507" width="12.85546875" style="289" customWidth="1"/>
    <col min="508" max="758" width="9.140625" style="289"/>
    <col min="759" max="759" width="14" style="289" customWidth="1"/>
    <col min="760" max="760" width="43.42578125" style="289" customWidth="1"/>
    <col min="761" max="761" width="31.28515625" style="289" customWidth="1"/>
    <col min="762" max="762" width="12.7109375" style="289" customWidth="1"/>
    <col min="763" max="763" width="12.85546875" style="289" customWidth="1"/>
    <col min="764" max="1014" width="9.140625" style="289"/>
    <col min="1015" max="1015" width="14" style="289" customWidth="1"/>
    <col min="1016" max="1016" width="43.42578125" style="289" customWidth="1"/>
    <col min="1017" max="1017" width="31.28515625" style="289" customWidth="1"/>
    <col min="1018" max="1018" width="12.7109375" style="289" customWidth="1"/>
    <col min="1019" max="1019" width="12.85546875" style="289" customWidth="1"/>
    <col min="1020" max="1270" width="9.140625" style="289"/>
    <col min="1271" max="1271" width="14" style="289" customWidth="1"/>
    <col min="1272" max="1272" width="43.42578125" style="289" customWidth="1"/>
    <col min="1273" max="1273" width="31.28515625" style="289" customWidth="1"/>
    <col min="1274" max="1274" width="12.7109375" style="289" customWidth="1"/>
    <col min="1275" max="1275" width="12.85546875" style="289" customWidth="1"/>
    <col min="1276" max="1526" width="9.140625" style="289"/>
    <col min="1527" max="1527" width="14" style="289" customWidth="1"/>
    <col min="1528" max="1528" width="43.42578125" style="289" customWidth="1"/>
    <col min="1529" max="1529" width="31.28515625" style="289" customWidth="1"/>
    <col min="1530" max="1530" width="12.7109375" style="289" customWidth="1"/>
    <col min="1531" max="1531" width="12.85546875" style="289" customWidth="1"/>
    <col min="1532" max="1782" width="9.140625" style="289"/>
    <col min="1783" max="1783" width="14" style="289" customWidth="1"/>
    <col min="1784" max="1784" width="43.42578125" style="289" customWidth="1"/>
    <col min="1785" max="1785" width="31.28515625" style="289" customWidth="1"/>
    <col min="1786" max="1786" width="12.7109375" style="289" customWidth="1"/>
    <col min="1787" max="1787" width="12.85546875" style="289" customWidth="1"/>
    <col min="1788" max="2038" width="9.140625" style="289"/>
    <col min="2039" max="2039" width="14" style="289" customWidth="1"/>
    <col min="2040" max="2040" width="43.42578125" style="289" customWidth="1"/>
    <col min="2041" max="2041" width="31.28515625" style="289" customWidth="1"/>
    <col min="2042" max="2042" width="12.7109375" style="289" customWidth="1"/>
    <col min="2043" max="2043" width="12.85546875" style="289" customWidth="1"/>
    <col min="2044" max="2294" width="9.140625" style="289"/>
    <col min="2295" max="2295" width="14" style="289" customWidth="1"/>
    <col min="2296" max="2296" width="43.42578125" style="289" customWidth="1"/>
    <col min="2297" max="2297" width="31.28515625" style="289" customWidth="1"/>
    <col min="2298" max="2298" width="12.7109375" style="289" customWidth="1"/>
    <col min="2299" max="2299" width="12.85546875" style="289" customWidth="1"/>
    <col min="2300" max="2550" width="9.140625" style="289"/>
    <col min="2551" max="2551" width="14" style="289" customWidth="1"/>
    <col min="2552" max="2552" width="43.42578125" style="289" customWidth="1"/>
    <col min="2553" max="2553" width="31.28515625" style="289" customWidth="1"/>
    <col min="2554" max="2554" width="12.7109375" style="289" customWidth="1"/>
    <col min="2555" max="2555" width="12.85546875" style="289" customWidth="1"/>
    <col min="2556" max="2806" width="9.140625" style="289"/>
    <col min="2807" max="2807" width="14" style="289" customWidth="1"/>
    <col min="2808" max="2808" width="43.42578125" style="289" customWidth="1"/>
    <col min="2809" max="2809" width="31.28515625" style="289" customWidth="1"/>
    <col min="2810" max="2810" width="12.7109375" style="289" customWidth="1"/>
    <col min="2811" max="2811" width="12.85546875" style="289" customWidth="1"/>
    <col min="2812" max="3062" width="9.140625" style="289"/>
    <col min="3063" max="3063" width="14" style="289" customWidth="1"/>
    <col min="3064" max="3064" width="43.42578125" style="289" customWidth="1"/>
    <col min="3065" max="3065" width="31.28515625" style="289" customWidth="1"/>
    <col min="3066" max="3066" width="12.7109375" style="289" customWidth="1"/>
    <col min="3067" max="3067" width="12.85546875" style="289" customWidth="1"/>
    <col min="3068" max="3318" width="9.140625" style="289"/>
    <col min="3319" max="3319" width="14" style="289" customWidth="1"/>
    <col min="3320" max="3320" width="43.42578125" style="289" customWidth="1"/>
    <col min="3321" max="3321" width="31.28515625" style="289" customWidth="1"/>
    <col min="3322" max="3322" width="12.7109375" style="289" customWidth="1"/>
    <col min="3323" max="3323" width="12.85546875" style="289" customWidth="1"/>
    <col min="3324" max="3574" width="9.140625" style="289"/>
    <col min="3575" max="3575" width="14" style="289" customWidth="1"/>
    <col min="3576" max="3576" width="43.42578125" style="289" customWidth="1"/>
    <col min="3577" max="3577" width="31.28515625" style="289" customWidth="1"/>
    <col min="3578" max="3578" width="12.7109375" style="289" customWidth="1"/>
    <col min="3579" max="3579" width="12.85546875" style="289" customWidth="1"/>
    <col min="3580" max="3830" width="9.140625" style="289"/>
    <col min="3831" max="3831" width="14" style="289" customWidth="1"/>
    <col min="3832" max="3832" width="43.42578125" style="289" customWidth="1"/>
    <col min="3833" max="3833" width="31.28515625" style="289" customWidth="1"/>
    <col min="3834" max="3834" width="12.7109375" style="289" customWidth="1"/>
    <col min="3835" max="3835" width="12.85546875" style="289" customWidth="1"/>
    <col min="3836" max="4086" width="9.140625" style="289"/>
    <col min="4087" max="4087" width="14" style="289" customWidth="1"/>
    <col min="4088" max="4088" width="43.42578125" style="289" customWidth="1"/>
    <col min="4089" max="4089" width="31.28515625" style="289" customWidth="1"/>
    <col min="4090" max="4090" width="12.7109375" style="289" customWidth="1"/>
    <col min="4091" max="4091" width="12.85546875" style="289" customWidth="1"/>
    <col min="4092" max="4342" width="9.140625" style="289"/>
    <col min="4343" max="4343" width="14" style="289" customWidth="1"/>
    <col min="4344" max="4344" width="43.42578125" style="289" customWidth="1"/>
    <col min="4345" max="4345" width="31.28515625" style="289" customWidth="1"/>
    <col min="4346" max="4346" width="12.7109375" style="289" customWidth="1"/>
    <col min="4347" max="4347" width="12.85546875" style="289" customWidth="1"/>
    <col min="4348" max="4598" width="9.140625" style="289"/>
    <col min="4599" max="4599" width="14" style="289" customWidth="1"/>
    <col min="4600" max="4600" width="43.42578125" style="289" customWidth="1"/>
    <col min="4601" max="4601" width="31.28515625" style="289" customWidth="1"/>
    <col min="4602" max="4602" width="12.7109375" style="289" customWidth="1"/>
    <col min="4603" max="4603" width="12.85546875" style="289" customWidth="1"/>
    <col min="4604" max="4854" width="9.140625" style="289"/>
    <col min="4855" max="4855" width="14" style="289" customWidth="1"/>
    <col min="4856" max="4856" width="43.42578125" style="289" customWidth="1"/>
    <col min="4857" max="4857" width="31.28515625" style="289" customWidth="1"/>
    <col min="4858" max="4858" width="12.7109375" style="289" customWidth="1"/>
    <col min="4859" max="4859" width="12.85546875" style="289" customWidth="1"/>
    <col min="4860" max="5110" width="9.140625" style="289"/>
    <col min="5111" max="5111" width="14" style="289" customWidth="1"/>
    <col min="5112" max="5112" width="43.42578125" style="289" customWidth="1"/>
    <col min="5113" max="5113" width="31.28515625" style="289" customWidth="1"/>
    <col min="5114" max="5114" width="12.7109375" style="289" customWidth="1"/>
    <col min="5115" max="5115" width="12.85546875" style="289" customWidth="1"/>
    <col min="5116" max="5366" width="9.140625" style="289"/>
    <col min="5367" max="5367" width="14" style="289" customWidth="1"/>
    <col min="5368" max="5368" width="43.42578125" style="289" customWidth="1"/>
    <col min="5369" max="5369" width="31.28515625" style="289" customWidth="1"/>
    <col min="5370" max="5370" width="12.7109375" style="289" customWidth="1"/>
    <col min="5371" max="5371" width="12.85546875" style="289" customWidth="1"/>
    <col min="5372" max="5622" width="9.140625" style="289"/>
    <col min="5623" max="5623" width="14" style="289" customWidth="1"/>
    <col min="5624" max="5624" width="43.42578125" style="289" customWidth="1"/>
    <col min="5625" max="5625" width="31.28515625" style="289" customWidth="1"/>
    <col min="5626" max="5626" width="12.7109375" style="289" customWidth="1"/>
    <col min="5627" max="5627" width="12.85546875" style="289" customWidth="1"/>
    <col min="5628" max="5878" width="9.140625" style="289"/>
    <col min="5879" max="5879" width="14" style="289" customWidth="1"/>
    <col min="5880" max="5880" width="43.42578125" style="289" customWidth="1"/>
    <col min="5881" max="5881" width="31.28515625" style="289" customWidth="1"/>
    <col min="5882" max="5882" width="12.7109375" style="289" customWidth="1"/>
    <col min="5883" max="5883" width="12.85546875" style="289" customWidth="1"/>
    <col min="5884" max="6134" width="9.140625" style="289"/>
    <col min="6135" max="6135" width="14" style="289" customWidth="1"/>
    <col min="6136" max="6136" width="43.42578125" style="289" customWidth="1"/>
    <col min="6137" max="6137" width="31.28515625" style="289" customWidth="1"/>
    <col min="6138" max="6138" width="12.7109375" style="289" customWidth="1"/>
    <col min="6139" max="6139" width="12.85546875" style="289" customWidth="1"/>
    <col min="6140" max="6390" width="9.140625" style="289"/>
    <col min="6391" max="6391" width="14" style="289" customWidth="1"/>
    <col min="6392" max="6392" width="43.42578125" style="289" customWidth="1"/>
    <col min="6393" max="6393" width="31.28515625" style="289" customWidth="1"/>
    <col min="6394" max="6394" width="12.7109375" style="289" customWidth="1"/>
    <col min="6395" max="6395" width="12.85546875" style="289" customWidth="1"/>
    <col min="6396" max="6646" width="9.140625" style="289"/>
    <col min="6647" max="6647" width="14" style="289" customWidth="1"/>
    <col min="6648" max="6648" width="43.42578125" style="289" customWidth="1"/>
    <col min="6649" max="6649" width="31.28515625" style="289" customWidth="1"/>
    <col min="6650" max="6650" width="12.7109375" style="289" customWidth="1"/>
    <col min="6651" max="6651" width="12.85546875" style="289" customWidth="1"/>
    <col min="6652" max="6902" width="9.140625" style="289"/>
    <col min="6903" max="6903" width="14" style="289" customWidth="1"/>
    <col min="6904" max="6904" width="43.42578125" style="289" customWidth="1"/>
    <col min="6905" max="6905" width="31.28515625" style="289" customWidth="1"/>
    <col min="6906" max="6906" width="12.7109375" style="289" customWidth="1"/>
    <col min="6907" max="6907" width="12.85546875" style="289" customWidth="1"/>
    <col min="6908" max="7158" width="9.140625" style="289"/>
    <col min="7159" max="7159" width="14" style="289" customWidth="1"/>
    <col min="7160" max="7160" width="43.42578125" style="289" customWidth="1"/>
    <col min="7161" max="7161" width="31.28515625" style="289" customWidth="1"/>
    <col min="7162" max="7162" width="12.7109375" style="289" customWidth="1"/>
    <col min="7163" max="7163" width="12.85546875" style="289" customWidth="1"/>
    <col min="7164" max="7414" width="9.140625" style="289"/>
    <col min="7415" max="7415" width="14" style="289" customWidth="1"/>
    <col min="7416" max="7416" width="43.42578125" style="289" customWidth="1"/>
    <col min="7417" max="7417" width="31.28515625" style="289" customWidth="1"/>
    <col min="7418" max="7418" width="12.7109375" style="289" customWidth="1"/>
    <col min="7419" max="7419" width="12.85546875" style="289" customWidth="1"/>
    <col min="7420" max="7670" width="9.140625" style="289"/>
    <col min="7671" max="7671" width="14" style="289" customWidth="1"/>
    <col min="7672" max="7672" width="43.42578125" style="289" customWidth="1"/>
    <col min="7673" max="7673" width="31.28515625" style="289" customWidth="1"/>
    <col min="7674" max="7674" width="12.7109375" style="289" customWidth="1"/>
    <col min="7675" max="7675" width="12.85546875" style="289" customWidth="1"/>
    <col min="7676" max="7926" width="9.140625" style="289"/>
    <col min="7927" max="7927" width="14" style="289" customWidth="1"/>
    <col min="7928" max="7928" width="43.42578125" style="289" customWidth="1"/>
    <col min="7929" max="7929" width="31.28515625" style="289" customWidth="1"/>
    <col min="7930" max="7930" width="12.7109375" style="289" customWidth="1"/>
    <col min="7931" max="7931" width="12.85546875" style="289" customWidth="1"/>
    <col min="7932" max="8182" width="9.140625" style="289"/>
    <col min="8183" max="8183" width="14" style="289" customWidth="1"/>
    <col min="8184" max="8184" width="43.42578125" style="289" customWidth="1"/>
    <col min="8185" max="8185" width="31.28515625" style="289" customWidth="1"/>
    <col min="8186" max="8186" width="12.7109375" style="289" customWidth="1"/>
    <col min="8187" max="8187" width="12.85546875" style="289" customWidth="1"/>
    <col min="8188" max="8438" width="9.140625" style="289"/>
    <col min="8439" max="8439" width="14" style="289" customWidth="1"/>
    <col min="8440" max="8440" width="43.42578125" style="289" customWidth="1"/>
    <col min="8441" max="8441" width="31.28515625" style="289" customWidth="1"/>
    <col min="8442" max="8442" width="12.7109375" style="289" customWidth="1"/>
    <col min="8443" max="8443" width="12.85546875" style="289" customWidth="1"/>
    <col min="8444" max="8694" width="9.140625" style="289"/>
    <col min="8695" max="8695" width="14" style="289" customWidth="1"/>
    <col min="8696" max="8696" width="43.42578125" style="289" customWidth="1"/>
    <col min="8697" max="8697" width="31.28515625" style="289" customWidth="1"/>
    <col min="8698" max="8698" width="12.7109375" style="289" customWidth="1"/>
    <col min="8699" max="8699" width="12.85546875" style="289" customWidth="1"/>
    <col min="8700" max="8950" width="9.140625" style="289"/>
    <col min="8951" max="8951" width="14" style="289" customWidth="1"/>
    <col min="8952" max="8952" width="43.42578125" style="289" customWidth="1"/>
    <col min="8953" max="8953" width="31.28515625" style="289" customWidth="1"/>
    <col min="8954" max="8954" width="12.7109375" style="289" customWidth="1"/>
    <col min="8955" max="8955" width="12.85546875" style="289" customWidth="1"/>
    <col min="8956" max="9206" width="9.140625" style="289"/>
    <col min="9207" max="9207" width="14" style="289" customWidth="1"/>
    <col min="9208" max="9208" width="43.42578125" style="289" customWidth="1"/>
    <col min="9209" max="9209" width="31.28515625" style="289" customWidth="1"/>
    <col min="9210" max="9210" width="12.7109375" style="289" customWidth="1"/>
    <col min="9211" max="9211" width="12.85546875" style="289" customWidth="1"/>
    <col min="9212" max="9462" width="9.140625" style="289"/>
    <col min="9463" max="9463" width="14" style="289" customWidth="1"/>
    <col min="9464" max="9464" width="43.42578125" style="289" customWidth="1"/>
    <col min="9465" max="9465" width="31.28515625" style="289" customWidth="1"/>
    <col min="9466" max="9466" width="12.7109375" style="289" customWidth="1"/>
    <col min="9467" max="9467" width="12.85546875" style="289" customWidth="1"/>
    <col min="9468" max="9718" width="9.140625" style="289"/>
    <col min="9719" max="9719" width="14" style="289" customWidth="1"/>
    <col min="9720" max="9720" width="43.42578125" style="289" customWidth="1"/>
    <col min="9721" max="9721" width="31.28515625" style="289" customWidth="1"/>
    <col min="9722" max="9722" width="12.7109375" style="289" customWidth="1"/>
    <col min="9723" max="9723" width="12.85546875" style="289" customWidth="1"/>
    <col min="9724" max="9974" width="9.140625" style="289"/>
    <col min="9975" max="9975" width="14" style="289" customWidth="1"/>
    <col min="9976" max="9976" width="43.42578125" style="289" customWidth="1"/>
    <col min="9977" max="9977" width="31.28515625" style="289" customWidth="1"/>
    <col min="9978" max="9978" width="12.7109375" style="289" customWidth="1"/>
    <col min="9979" max="9979" width="12.85546875" style="289" customWidth="1"/>
    <col min="9980" max="10230" width="9.140625" style="289"/>
    <col min="10231" max="10231" width="14" style="289" customWidth="1"/>
    <col min="10232" max="10232" width="43.42578125" style="289" customWidth="1"/>
    <col min="10233" max="10233" width="31.28515625" style="289" customWidth="1"/>
    <col min="10234" max="10234" width="12.7109375" style="289" customWidth="1"/>
    <col min="10235" max="10235" width="12.85546875" style="289" customWidth="1"/>
    <col min="10236" max="10486" width="9.140625" style="289"/>
    <col min="10487" max="10487" width="14" style="289" customWidth="1"/>
    <col min="10488" max="10488" width="43.42578125" style="289" customWidth="1"/>
    <col min="10489" max="10489" width="31.28515625" style="289" customWidth="1"/>
    <col min="10490" max="10490" width="12.7109375" style="289" customWidth="1"/>
    <col min="10491" max="10491" width="12.85546875" style="289" customWidth="1"/>
    <col min="10492" max="10742" width="9.140625" style="289"/>
    <col min="10743" max="10743" width="14" style="289" customWidth="1"/>
    <col min="10744" max="10744" width="43.42578125" style="289" customWidth="1"/>
    <col min="10745" max="10745" width="31.28515625" style="289" customWidth="1"/>
    <col min="10746" max="10746" width="12.7109375" style="289" customWidth="1"/>
    <col min="10747" max="10747" width="12.85546875" style="289" customWidth="1"/>
    <col min="10748" max="10998" width="9.140625" style="289"/>
    <col min="10999" max="10999" width="14" style="289" customWidth="1"/>
    <col min="11000" max="11000" width="43.42578125" style="289" customWidth="1"/>
    <col min="11001" max="11001" width="31.28515625" style="289" customWidth="1"/>
    <col min="11002" max="11002" width="12.7109375" style="289" customWidth="1"/>
    <col min="11003" max="11003" width="12.85546875" style="289" customWidth="1"/>
    <col min="11004" max="11254" width="9.140625" style="289"/>
    <col min="11255" max="11255" width="14" style="289" customWidth="1"/>
    <col min="11256" max="11256" width="43.42578125" style="289" customWidth="1"/>
    <col min="11257" max="11257" width="31.28515625" style="289" customWidth="1"/>
    <col min="11258" max="11258" width="12.7109375" style="289" customWidth="1"/>
    <col min="11259" max="11259" width="12.85546875" style="289" customWidth="1"/>
    <col min="11260" max="11510" width="9.140625" style="289"/>
    <col min="11511" max="11511" width="14" style="289" customWidth="1"/>
    <col min="11512" max="11512" width="43.42578125" style="289" customWidth="1"/>
    <col min="11513" max="11513" width="31.28515625" style="289" customWidth="1"/>
    <col min="11514" max="11514" width="12.7109375" style="289" customWidth="1"/>
    <col min="11515" max="11515" width="12.85546875" style="289" customWidth="1"/>
    <col min="11516" max="11766" width="9.140625" style="289"/>
    <col min="11767" max="11767" width="14" style="289" customWidth="1"/>
    <col min="11768" max="11768" width="43.42578125" style="289" customWidth="1"/>
    <col min="11769" max="11769" width="31.28515625" style="289" customWidth="1"/>
    <col min="11770" max="11770" width="12.7109375" style="289" customWidth="1"/>
    <col min="11771" max="11771" width="12.85546875" style="289" customWidth="1"/>
    <col min="11772" max="12022" width="9.140625" style="289"/>
    <col min="12023" max="12023" width="14" style="289" customWidth="1"/>
    <col min="12024" max="12024" width="43.42578125" style="289" customWidth="1"/>
    <col min="12025" max="12025" width="31.28515625" style="289" customWidth="1"/>
    <col min="12026" max="12026" width="12.7109375" style="289" customWidth="1"/>
    <col min="12027" max="12027" width="12.85546875" style="289" customWidth="1"/>
    <col min="12028" max="12278" width="9.140625" style="289"/>
    <col min="12279" max="12279" width="14" style="289" customWidth="1"/>
    <col min="12280" max="12280" width="43.42578125" style="289" customWidth="1"/>
    <col min="12281" max="12281" width="31.28515625" style="289" customWidth="1"/>
    <col min="12282" max="12282" width="12.7109375" style="289" customWidth="1"/>
    <col min="12283" max="12283" width="12.85546875" style="289" customWidth="1"/>
    <col min="12284" max="12534" width="9.140625" style="289"/>
    <col min="12535" max="12535" width="14" style="289" customWidth="1"/>
    <col min="12536" max="12536" width="43.42578125" style="289" customWidth="1"/>
    <col min="12537" max="12537" width="31.28515625" style="289" customWidth="1"/>
    <col min="12538" max="12538" width="12.7109375" style="289" customWidth="1"/>
    <col min="12539" max="12539" width="12.85546875" style="289" customWidth="1"/>
    <col min="12540" max="12790" width="9.140625" style="289"/>
    <col min="12791" max="12791" width="14" style="289" customWidth="1"/>
    <col min="12792" max="12792" width="43.42578125" style="289" customWidth="1"/>
    <col min="12793" max="12793" width="31.28515625" style="289" customWidth="1"/>
    <col min="12794" max="12794" width="12.7109375" style="289" customWidth="1"/>
    <col min="12795" max="12795" width="12.85546875" style="289" customWidth="1"/>
    <col min="12796" max="13046" width="9.140625" style="289"/>
    <col min="13047" max="13047" width="14" style="289" customWidth="1"/>
    <col min="13048" max="13048" width="43.42578125" style="289" customWidth="1"/>
    <col min="13049" max="13049" width="31.28515625" style="289" customWidth="1"/>
    <col min="13050" max="13050" width="12.7109375" style="289" customWidth="1"/>
    <col min="13051" max="13051" width="12.85546875" style="289" customWidth="1"/>
    <col min="13052" max="13302" width="9.140625" style="289"/>
    <col min="13303" max="13303" width="14" style="289" customWidth="1"/>
    <col min="13304" max="13304" width="43.42578125" style="289" customWidth="1"/>
    <col min="13305" max="13305" width="31.28515625" style="289" customWidth="1"/>
    <col min="13306" max="13306" width="12.7109375" style="289" customWidth="1"/>
    <col min="13307" max="13307" width="12.85546875" style="289" customWidth="1"/>
    <col min="13308" max="13558" width="9.140625" style="289"/>
    <col min="13559" max="13559" width="14" style="289" customWidth="1"/>
    <col min="13560" max="13560" width="43.42578125" style="289" customWidth="1"/>
    <col min="13561" max="13561" width="31.28515625" style="289" customWidth="1"/>
    <col min="13562" max="13562" width="12.7109375" style="289" customWidth="1"/>
    <col min="13563" max="13563" width="12.85546875" style="289" customWidth="1"/>
    <col min="13564" max="13814" width="9.140625" style="289"/>
    <col min="13815" max="13815" width="14" style="289" customWidth="1"/>
    <col min="13816" max="13816" width="43.42578125" style="289" customWidth="1"/>
    <col min="13817" max="13817" width="31.28515625" style="289" customWidth="1"/>
    <col min="13818" max="13818" width="12.7109375" style="289" customWidth="1"/>
    <col min="13819" max="13819" width="12.85546875" style="289" customWidth="1"/>
    <col min="13820" max="14070" width="9.140625" style="289"/>
    <col min="14071" max="14071" width="14" style="289" customWidth="1"/>
    <col min="14072" max="14072" width="43.42578125" style="289" customWidth="1"/>
    <col min="14073" max="14073" width="31.28515625" style="289" customWidth="1"/>
    <col min="14074" max="14074" width="12.7109375" style="289" customWidth="1"/>
    <col min="14075" max="14075" width="12.85546875" style="289" customWidth="1"/>
    <col min="14076" max="14326" width="9.140625" style="289"/>
    <col min="14327" max="14327" width="14" style="289" customWidth="1"/>
    <col min="14328" max="14328" width="43.42578125" style="289" customWidth="1"/>
    <col min="14329" max="14329" width="31.28515625" style="289" customWidth="1"/>
    <col min="14330" max="14330" width="12.7109375" style="289" customWidth="1"/>
    <col min="14331" max="14331" width="12.85546875" style="289" customWidth="1"/>
    <col min="14332" max="14582" width="9.140625" style="289"/>
    <col min="14583" max="14583" width="14" style="289" customWidth="1"/>
    <col min="14584" max="14584" width="43.42578125" style="289" customWidth="1"/>
    <col min="14585" max="14585" width="31.28515625" style="289" customWidth="1"/>
    <col min="14586" max="14586" width="12.7109375" style="289" customWidth="1"/>
    <col min="14587" max="14587" width="12.85546875" style="289" customWidth="1"/>
    <col min="14588" max="14838" width="9.140625" style="289"/>
    <col min="14839" max="14839" width="14" style="289" customWidth="1"/>
    <col min="14840" max="14840" width="43.42578125" style="289" customWidth="1"/>
    <col min="14841" max="14841" width="31.28515625" style="289" customWidth="1"/>
    <col min="14842" max="14842" width="12.7109375" style="289" customWidth="1"/>
    <col min="14843" max="14843" width="12.85546875" style="289" customWidth="1"/>
    <col min="14844" max="15094" width="9.140625" style="289"/>
    <col min="15095" max="15095" width="14" style="289" customWidth="1"/>
    <col min="15096" max="15096" width="43.42578125" style="289" customWidth="1"/>
    <col min="15097" max="15097" width="31.28515625" style="289" customWidth="1"/>
    <col min="15098" max="15098" width="12.7109375" style="289" customWidth="1"/>
    <col min="15099" max="15099" width="12.85546875" style="289" customWidth="1"/>
    <col min="15100" max="15350" width="9.140625" style="289"/>
    <col min="15351" max="15351" width="14" style="289" customWidth="1"/>
    <col min="15352" max="15352" width="43.42578125" style="289" customWidth="1"/>
    <col min="15353" max="15353" width="31.28515625" style="289" customWidth="1"/>
    <col min="15354" max="15354" width="12.7109375" style="289" customWidth="1"/>
    <col min="15355" max="15355" width="12.85546875" style="289" customWidth="1"/>
    <col min="15356" max="15606" width="9.140625" style="289"/>
    <col min="15607" max="15607" width="14" style="289" customWidth="1"/>
    <col min="15608" max="15608" width="43.42578125" style="289" customWidth="1"/>
    <col min="15609" max="15609" width="31.28515625" style="289" customWidth="1"/>
    <col min="15610" max="15610" width="12.7109375" style="289" customWidth="1"/>
    <col min="15611" max="15611" width="12.85546875" style="289" customWidth="1"/>
    <col min="15612" max="15862" width="9.140625" style="289"/>
    <col min="15863" max="15863" width="14" style="289" customWidth="1"/>
    <col min="15864" max="15864" width="43.42578125" style="289" customWidth="1"/>
    <col min="15865" max="15865" width="31.28515625" style="289" customWidth="1"/>
    <col min="15866" max="15866" width="12.7109375" style="289" customWidth="1"/>
    <col min="15867" max="15867" width="12.85546875" style="289" customWidth="1"/>
    <col min="15868" max="16118" width="9.140625" style="289"/>
    <col min="16119" max="16119" width="14" style="289" customWidth="1"/>
    <col min="16120" max="16120" width="43.42578125" style="289" customWidth="1"/>
    <col min="16121" max="16121" width="31.28515625" style="289" customWidth="1"/>
    <col min="16122" max="16122" width="12.7109375" style="289" customWidth="1"/>
    <col min="16123" max="16123" width="12.85546875" style="289" customWidth="1"/>
    <col min="16124" max="16384" width="9.140625" style="289"/>
  </cols>
  <sheetData>
    <row r="2" spans="1:17" x14ac:dyDescent="0.25">
      <c r="A2" s="289" t="s">
        <v>1195</v>
      </c>
      <c r="B2" s="758"/>
      <c r="C2" s="758"/>
      <c r="Q2" s="289"/>
    </row>
    <row r="3" spans="1:17" x14ac:dyDescent="0.25">
      <c r="A3" s="289" t="s">
        <v>1196</v>
      </c>
      <c r="B3" s="758"/>
      <c r="C3" s="758"/>
      <c r="Q3" s="289"/>
    </row>
    <row r="4" spans="1:17" ht="16.5" thickBot="1" x14ac:dyDescent="0.3"/>
    <row r="5" spans="1:17" x14ac:dyDescent="0.25">
      <c r="A5" s="726"/>
      <c r="B5" s="1125" t="s">
        <v>1197</v>
      </c>
      <c r="C5" s="1125"/>
      <c r="D5" s="1261" t="s">
        <v>1198</v>
      </c>
      <c r="E5" s="1262" t="s">
        <v>1199</v>
      </c>
    </row>
    <row r="6" spans="1:17" x14ac:dyDescent="0.25">
      <c r="A6" s="300"/>
      <c r="B6" s="298"/>
      <c r="C6" s="298"/>
      <c r="D6" s="1263"/>
      <c r="E6" s="1264">
        <f>+E18</f>
        <v>6000</v>
      </c>
    </row>
    <row r="7" spans="1:17" x14ac:dyDescent="0.25">
      <c r="A7" s="300"/>
      <c r="B7" s="296"/>
      <c r="C7" s="296"/>
      <c r="D7" s="701"/>
      <c r="E7" s="742"/>
    </row>
    <row r="8" spans="1:17" x14ac:dyDescent="0.25">
      <c r="A8" s="1265" t="s">
        <v>1200</v>
      </c>
      <c r="B8" s="1266" t="s">
        <v>1201</v>
      </c>
      <c r="C8" s="1266"/>
      <c r="D8" s="1267">
        <v>1000</v>
      </c>
      <c r="E8" s="1268">
        <v>1000</v>
      </c>
    </row>
    <row r="9" spans="1:17" x14ac:dyDescent="0.25">
      <c r="A9" s="1269"/>
      <c r="B9" s="296" t="s">
        <v>1202</v>
      </c>
      <c r="C9" s="296"/>
      <c r="D9" s="701"/>
      <c r="E9" s="742">
        <f>-E29*E18</f>
        <v>-180</v>
      </c>
    </row>
    <row r="10" spans="1:17" x14ac:dyDescent="0.25">
      <c r="A10" s="1265" t="s">
        <v>1203</v>
      </c>
      <c r="B10" s="1266" t="s">
        <v>1204</v>
      </c>
      <c r="C10" s="1266"/>
      <c r="D10" s="1267">
        <f>+D8+D9</f>
        <v>1000</v>
      </c>
      <c r="E10" s="1268">
        <f>+E8+E9</f>
        <v>820</v>
      </c>
    </row>
    <row r="11" spans="1:17" x14ac:dyDescent="0.25">
      <c r="A11" s="1269"/>
      <c r="B11" s="296" t="s">
        <v>1205</v>
      </c>
      <c r="C11" s="296"/>
      <c r="D11" s="701">
        <f>-D10*D26</f>
        <v>-250</v>
      </c>
      <c r="E11" s="742">
        <f>-E10*E26</f>
        <v>-205</v>
      </c>
    </row>
    <row r="12" spans="1:17" ht="16.5" thickBot="1" x14ac:dyDescent="0.3">
      <c r="A12" s="1270" t="s">
        <v>255</v>
      </c>
      <c r="B12" s="1271" t="s">
        <v>1206</v>
      </c>
      <c r="C12" s="1271"/>
      <c r="D12" s="1272">
        <f>SUM(D10:D11)</f>
        <v>750</v>
      </c>
      <c r="E12" s="1273">
        <f>SUM(E10:E11)</f>
        <v>615</v>
      </c>
    </row>
    <row r="13" spans="1:17" ht="16.5" thickBot="1" x14ac:dyDescent="0.3"/>
    <row r="14" spans="1:17" x14ac:dyDescent="0.25">
      <c r="A14" s="726"/>
      <c r="B14" s="1125" t="s">
        <v>1207</v>
      </c>
      <c r="C14" s="1125"/>
      <c r="D14" s="1274">
        <v>10000</v>
      </c>
      <c r="E14" s="1275">
        <v>10000</v>
      </c>
    </row>
    <row r="15" spans="1:17" x14ac:dyDescent="0.25">
      <c r="A15" s="300"/>
      <c r="B15" s="296"/>
      <c r="C15" s="296"/>
      <c r="D15" s="1276"/>
      <c r="E15" s="1277"/>
    </row>
    <row r="16" spans="1:17" x14ac:dyDescent="0.25">
      <c r="A16" s="300"/>
      <c r="B16" s="298" t="s">
        <v>1208</v>
      </c>
      <c r="C16" s="298"/>
      <c r="D16" s="1276"/>
      <c r="E16" s="1277"/>
    </row>
    <row r="17" spans="1:17" x14ac:dyDescent="0.25">
      <c r="A17" s="300"/>
      <c r="B17" s="296" t="s">
        <v>1209</v>
      </c>
      <c r="C17" s="296"/>
      <c r="D17" s="1276">
        <v>10000</v>
      </c>
      <c r="E17" s="1277">
        <f>+D17-E18</f>
        <v>4000</v>
      </c>
    </row>
    <row r="18" spans="1:17" ht="16.5" thickBot="1" x14ac:dyDescent="0.3">
      <c r="A18" s="301"/>
      <c r="B18" s="534" t="s">
        <v>1210</v>
      </c>
      <c r="C18" s="534"/>
      <c r="D18" s="1278"/>
      <c r="E18" s="1279">
        <v>6000</v>
      </c>
    </row>
    <row r="19" spans="1:17" x14ac:dyDescent="0.25">
      <c r="C19" s="289" t="s">
        <v>1211</v>
      </c>
      <c r="D19" s="1280"/>
      <c r="E19" s="1280"/>
    </row>
    <row r="20" spans="1:17" x14ac:dyDescent="0.25">
      <c r="A20" s="1281" t="s">
        <v>1212</v>
      </c>
      <c r="B20" s="1281" t="s">
        <v>1213</v>
      </c>
      <c r="C20" s="1281"/>
      <c r="D20" s="1282">
        <f>+D12/D28</f>
        <v>10000</v>
      </c>
      <c r="E20" s="1282">
        <f>+D20</f>
        <v>10000</v>
      </c>
    </row>
    <row r="21" spans="1:17" x14ac:dyDescent="0.25">
      <c r="A21" s="289" t="s">
        <v>1214</v>
      </c>
      <c r="B21" s="289" t="s">
        <v>1215</v>
      </c>
      <c r="D21" s="1280">
        <f>+D18*D26</f>
        <v>0</v>
      </c>
      <c r="E21" s="1280">
        <f>+E18*E26</f>
        <v>1500</v>
      </c>
    </row>
    <row r="22" spans="1:17" x14ac:dyDescent="0.25">
      <c r="A22" s="1281" t="s">
        <v>572</v>
      </c>
      <c r="B22" s="1281" t="s">
        <v>1216</v>
      </c>
      <c r="C22" s="1281"/>
      <c r="D22" s="1282">
        <f>+D18</f>
        <v>0</v>
      </c>
      <c r="E22" s="1282">
        <f>+E18</f>
        <v>6000</v>
      </c>
    </row>
    <row r="23" spans="1:17" x14ac:dyDescent="0.25">
      <c r="A23" s="289" t="s">
        <v>574</v>
      </c>
      <c r="B23" s="289" t="s">
        <v>1217</v>
      </c>
      <c r="D23" s="1280">
        <f>+D17</f>
        <v>10000</v>
      </c>
      <c r="E23" s="1280">
        <f>+E20+E21-E22</f>
        <v>5500</v>
      </c>
    </row>
    <row r="24" spans="1:17" x14ac:dyDescent="0.25">
      <c r="A24" s="1281" t="s">
        <v>1218</v>
      </c>
      <c r="B24" s="1281" t="s">
        <v>1219</v>
      </c>
      <c r="C24" s="1281" t="s">
        <v>1220</v>
      </c>
      <c r="D24" s="1282">
        <f>+D22+D23</f>
        <v>10000</v>
      </c>
      <c r="E24" s="1282">
        <f>+E20+E21</f>
        <v>11500</v>
      </c>
    </row>
    <row r="25" spans="1:17" x14ac:dyDescent="0.25">
      <c r="A25" s="758"/>
      <c r="B25" s="758"/>
      <c r="C25" s="758"/>
    </row>
    <row r="26" spans="1:17" x14ac:dyDescent="0.25">
      <c r="A26" s="1282" t="s">
        <v>258</v>
      </c>
      <c r="B26" s="1282" t="s">
        <v>1221</v>
      </c>
      <c r="C26" s="1282"/>
      <c r="D26" s="1283">
        <v>0.25</v>
      </c>
      <c r="E26" s="1283">
        <v>0.25</v>
      </c>
    </row>
    <row r="27" spans="1:17" x14ac:dyDescent="0.25">
      <c r="A27" s="289" t="s">
        <v>276</v>
      </c>
      <c r="B27" s="289" t="s">
        <v>277</v>
      </c>
      <c r="C27" s="289" t="s">
        <v>1222</v>
      </c>
      <c r="D27" s="1284">
        <v>7.4999999999999997E-2</v>
      </c>
      <c r="E27" s="1284">
        <f>+E12/E23</f>
        <v>0.11181818181818182</v>
      </c>
    </row>
    <row r="28" spans="1:17" s="1289" customFormat="1" ht="37.5" customHeight="1" x14ac:dyDescent="0.25">
      <c r="A28" s="1285" t="s">
        <v>272</v>
      </c>
      <c r="B28" s="1286" t="s">
        <v>1223</v>
      </c>
      <c r="C28" s="1286"/>
      <c r="D28" s="1287">
        <v>7.4999999999999997E-2</v>
      </c>
      <c r="E28" s="1287">
        <v>7.4999999999999997E-2</v>
      </c>
      <c r="F28" s="1288"/>
      <c r="G28" s="1288"/>
      <c r="H28" s="1288"/>
      <c r="I28" s="1288"/>
      <c r="J28" s="1288"/>
      <c r="K28" s="1288"/>
      <c r="L28" s="1288"/>
      <c r="M28" s="1288"/>
      <c r="N28" s="1288"/>
      <c r="O28" s="1288"/>
      <c r="P28" s="1288"/>
      <c r="Q28" s="1288"/>
    </row>
    <row r="29" spans="1:17" ht="34.5" customHeight="1" x14ac:dyDescent="0.25">
      <c r="A29" s="289" t="s">
        <v>260</v>
      </c>
      <c r="B29" s="289" t="s">
        <v>261</v>
      </c>
      <c r="D29" s="1290"/>
      <c r="E29" s="1290">
        <v>0.03</v>
      </c>
    </row>
    <row r="30" spans="1:17" ht="36" customHeight="1" x14ac:dyDescent="0.25">
      <c r="A30" s="1285" t="s">
        <v>278</v>
      </c>
      <c r="B30" s="1286" t="s">
        <v>1224</v>
      </c>
      <c r="C30" s="1286" t="s">
        <v>1225</v>
      </c>
      <c r="D30" s="1283">
        <f>+(((D23*D27)+(D22*D29*(1-D26)))/D24)</f>
        <v>7.4999999999999997E-2</v>
      </c>
      <c r="E30" s="1283">
        <f>+(((E23*E27)+(E22*E29*(1-E26)))/E24)</f>
        <v>6.5217391304347824E-2</v>
      </c>
    </row>
    <row r="31" spans="1:17" ht="47.25" x14ac:dyDescent="0.25">
      <c r="A31" s="1291" t="s">
        <v>1226</v>
      </c>
      <c r="B31" s="1292" t="s">
        <v>1227</v>
      </c>
      <c r="C31" s="1292" t="s">
        <v>1228</v>
      </c>
      <c r="D31" s="1290">
        <f>+(((D23*D27)+(D22*D29))/D24)</f>
        <v>7.4999999999999997E-2</v>
      </c>
      <c r="E31" s="1290">
        <f>+(((E23*E27)+(E22*E29))/E24)</f>
        <v>6.9130434782608691E-2</v>
      </c>
    </row>
    <row r="32" spans="1:17" x14ac:dyDescent="0.25">
      <c r="B32" s="1293"/>
      <c r="C32" s="1293"/>
      <c r="D32" s="1294"/>
      <c r="E32" s="1294"/>
      <c r="G32" s="294"/>
    </row>
    <row r="33" spans="1:8" x14ac:dyDescent="0.25">
      <c r="B33" s="289" t="s">
        <v>1229</v>
      </c>
      <c r="D33" s="1280"/>
      <c r="E33" s="1280"/>
    </row>
    <row r="34" spans="1:8" x14ac:dyDescent="0.25">
      <c r="B34" s="289" t="s">
        <v>1230</v>
      </c>
      <c r="D34" s="1280"/>
      <c r="E34" s="1280"/>
    </row>
    <row r="35" spans="1:8" x14ac:dyDescent="0.25">
      <c r="B35" s="289" t="s">
        <v>1231</v>
      </c>
      <c r="D35" s="1295"/>
      <c r="E35" s="1280"/>
    </row>
    <row r="36" spans="1:8" x14ac:dyDescent="0.25">
      <c r="B36" s="289" t="s">
        <v>1232</v>
      </c>
      <c r="D36" s="1284"/>
      <c r="E36" s="1296"/>
      <c r="F36" s="291"/>
      <c r="G36" s="294"/>
      <c r="H36" s="294"/>
    </row>
    <row r="37" spans="1:8" x14ac:dyDescent="0.25">
      <c r="B37" s="289" t="s">
        <v>1233</v>
      </c>
      <c r="D37" s="1280"/>
      <c r="E37" s="1280"/>
    </row>
    <row r="38" spans="1:8" ht="16.5" thickBot="1" x14ac:dyDescent="0.3">
      <c r="D38" s="1280"/>
      <c r="E38" s="1280"/>
    </row>
    <row r="39" spans="1:8" x14ac:dyDescent="0.25">
      <c r="A39" s="319"/>
      <c r="B39" s="325" t="s">
        <v>280</v>
      </c>
      <c r="C39" s="1125"/>
      <c r="D39" s="1331" t="s">
        <v>305</v>
      </c>
      <c r="E39" s="1331" t="s">
        <v>1240</v>
      </c>
      <c r="F39" s="1331" t="s">
        <v>292</v>
      </c>
      <c r="G39" s="1297" t="s">
        <v>310</v>
      </c>
    </row>
    <row r="40" spans="1:8" x14ac:dyDescent="0.25">
      <c r="A40" s="320"/>
      <c r="B40" s="766" t="s">
        <v>281</v>
      </c>
      <c r="C40" s="768"/>
      <c r="D40" s="299">
        <f>+$E$8</f>
        <v>1000</v>
      </c>
      <c r="E40" s="299">
        <f>+$E$8</f>
        <v>1000</v>
      </c>
      <c r="F40" s="299"/>
      <c r="G40" s="306"/>
    </row>
    <row r="41" spans="1:8" x14ac:dyDescent="0.25">
      <c r="A41" s="320"/>
      <c r="B41" s="766" t="s">
        <v>282</v>
      </c>
      <c r="C41" s="768"/>
      <c r="D41" s="299"/>
      <c r="E41" s="299"/>
      <c r="F41" s="299"/>
      <c r="G41" s="306"/>
    </row>
    <row r="42" spans="1:8" x14ac:dyDescent="0.25">
      <c r="A42" s="320"/>
      <c r="B42" s="766" t="s">
        <v>283</v>
      </c>
      <c r="C42" s="768"/>
      <c r="D42" s="299"/>
      <c r="E42" s="299"/>
      <c r="F42" s="299"/>
      <c r="G42" s="306"/>
    </row>
    <row r="43" spans="1:8" x14ac:dyDescent="0.25">
      <c r="A43" s="320"/>
      <c r="B43" s="766" t="s">
        <v>284</v>
      </c>
      <c r="C43" s="768"/>
      <c r="D43" s="299"/>
      <c r="E43" s="299"/>
      <c r="F43" s="299"/>
      <c r="G43" s="306"/>
    </row>
    <row r="44" spans="1:8" x14ac:dyDescent="0.25">
      <c r="A44" s="320"/>
      <c r="B44" s="1236" t="s">
        <v>285</v>
      </c>
      <c r="C44" s="1298"/>
      <c r="D44" s="299"/>
      <c r="E44" s="299"/>
      <c r="F44" s="299"/>
      <c r="G44" s="306"/>
    </row>
    <row r="45" spans="1:8" ht="16.5" thickBot="1" x14ac:dyDescent="0.3">
      <c r="A45" s="320"/>
      <c r="B45" s="766" t="s">
        <v>286</v>
      </c>
      <c r="C45" s="768"/>
      <c r="D45" s="299">
        <f>$D$11</f>
        <v>-250</v>
      </c>
      <c r="E45" s="299">
        <f>$D$11</f>
        <v>-250</v>
      </c>
      <c r="F45" s="299"/>
      <c r="G45" s="306"/>
    </row>
    <row r="46" spans="1:8" ht="16.5" thickBot="1" x14ac:dyDescent="0.3">
      <c r="A46" s="320"/>
      <c r="B46" s="1299" t="s">
        <v>287</v>
      </c>
      <c r="C46" s="1300"/>
      <c r="D46" s="1301">
        <f>SUM(D40:D45)</f>
        <v>750</v>
      </c>
      <c r="E46" s="1301">
        <f>SUM(E40:E45)</f>
        <v>750</v>
      </c>
      <c r="F46" s="1301"/>
      <c r="G46" s="1302"/>
    </row>
    <row r="47" spans="1:8" ht="16.5" thickBot="1" x14ac:dyDescent="0.3">
      <c r="A47" s="320"/>
      <c r="B47" s="1303" t="s">
        <v>288</v>
      </c>
      <c r="C47" s="1304" t="s">
        <v>1234</v>
      </c>
      <c r="D47" s="299"/>
      <c r="E47" s="299">
        <f>+E28*E26*E18</f>
        <v>112.5</v>
      </c>
      <c r="F47" s="299"/>
      <c r="G47" s="306"/>
    </row>
    <row r="48" spans="1:8" ht="16.5" thickBot="1" x14ac:dyDescent="0.3">
      <c r="A48" s="1305"/>
      <c r="B48" s="1306" t="s">
        <v>289</v>
      </c>
      <c r="C48" s="1307"/>
      <c r="D48" s="1308"/>
      <c r="E48" s="1309">
        <f>+E46+E47</f>
        <v>862.5</v>
      </c>
      <c r="F48" s="1308"/>
      <c r="G48" s="1310"/>
    </row>
    <row r="49" spans="1:7" ht="16.5" thickBot="1" x14ac:dyDescent="0.3">
      <c r="A49" s="300"/>
      <c r="B49" s="808"/>
      <c r="C49" s="808"/>
      <c r="D49" s="299"/>
      <c r="E49" s="299"/>
      <c r="F49" s="299"/>
      <c r="G49" s="306"/>
    </row>
    <row r="50" spans="1:7" x14ac:dyDescent="0.25">
      <c r="A50" s="319"/>
      <c r="B50" s="1161" t="s">
        <v>290</v>
      </c>
      <c r="C50" s="728"/>
      <c r="D50" s="531"/>
      <c r="E50" s="531"/>
      <c r="F50" s="531">
        <f>+E12</f>
        <v>615</v>
      </c>
      <c r="G50" s="1311">
        <f t="shared" ref="G50" si="0">+F50</f>
        <v>615</v>
      </c>
    </row>
    <row r="51" spans="1:7" x14ac:dyDescent="0.25">
      <c r="A51" s="320"/>
      <c r="B51" s="766" t="s">
        <v>282</v>
      </c>
      <c r="C51" s="768"/>
      <c r="D51" s="299"/>
      <c r="E51" s="299"/>
      <c r="F51" s="299"/>
      <c r="G51" s="306"/>
    </row>
    <row r="52" spans="1:7" x14ac:dyDescent="0.25">
      <c r="A52" s="320"/>
      <c r="B52" s="766" t="s">
        <v>283</v>
      </c>
      <c r="C52" s="768"/>
      <c r="D52" s="299"/>
      <c r="E52" s="299"/>
      <c r="F52" s="299"/>
      <c r="G52" s="306"/>
    </row>
    <row r="53" spans="1:7" x14ac:dyDescent="0.25">
      <c r="A53" s="320"/>
      <c r="B53" s="766" t="s">
        <v>284</v>
      </c>
      <c r="C53" s="768"/>
      <c r="D53" s="299"/>
      <c r="E53" s="299"/>
      <c r="F53" s="299"/>
      <c r="G53" s="306"/>
    </row>
    <row r="54" spans="1:7" ht="16.5" thickBot="1" x14ac:dyDescent="0.3">
      <c r="A54" s="320"/>
      <c r="B54" s="766" t="s">
        <v>1235</v>
      </c>
      <c r="C54" s="768"/>
      <c r="D54" s="299"/>
      <c r="E54" s="299"/>
      <c r="F54" s="299"/>
      <c r="G54" s="306"/>
    </row>
    <row r="55" spans="1:7" ht="16.5" thickBot="1" x14ac:dyDescent="0.3">
      <c r="A55" s="320"/>
      <c r="B55" s="1299" t="s">
        <v>292</v>
      </c>
      <c r="C55" s="1300"/>
      <c r="D55" s="1301"/>
      <c r="E55" s="1301"/>
      <c r="F55" s="1301">
        <f t="shared" ref="F55:G55" si="1">SUM(F50:F54)</f>
        <v>615</v>
      </c>
      <c r="G55" s="1302">
        <f t="shared" si="1"/>
        <v>615</v>
      </c>
    </row>
    <row r="56" spans="1:7" x14ac:dyDescent="0.25">
      <c r="A56" s="320"/>
      <c r="B56" s="766" t="s">
        <v>1235</v>
      </c>
      <c r="C56" s="768"/>
      <c r="D56" s="299"/>
      <c r="E56" s="299"/>
      <c r="F56" s="299"/>
      <c r="G56" s="306"/>
    </row>
    <row r="57" spans="1:7" ht="16.5" thickBot="1" x14ac:dyDescent="0.3">
      <c r="A57" s="320"/>
      <c r="B57" s="766" t="s">
        <v>252</v>
      </c>
      <c r="C57" s="768"/>
      <c r="D57" s="299"/>
      <c r="E57" s="299"/>
      <c r="F57" s="299"/>
      <c r="G57" s="306">
        <f>-E9</f>
        <v>180</v>
      </c>
    </row>
    <row r="58" spans="1:7" ht="16.5" thickBot="1" x14ac:dyDescent="0.3">
      <c r="A58" s="1305"/>
      <c r="B58" s="1312" t="s">
        <v>293</v>
      </c>
      <c r="C58" s="1313"/>
      <c r="D58" s="1314"/>
      <c r="E58" s="1314"/>
      <c r="F58" s="1314"/>
      <c r="G58" s="1315">
        <f>SUM(G55:G57)</f>
        <v>795</v>
      </c>
    </row>
    <row r="59" spans="1:7" ht="16.5" thickBot="1" x14ac:dyDescent="0.3">
      <c r="A59" s="726"/>
      <c r="B59" s="303"/>
      <c r="C59" s="303"/>
      <c r="D59" s="531"/>
      <c r="E59" s="531"/>
      <c r="F59" s="531"/>
      <c r="G59" s="1311"/>
    </row>
    <row r="60" spans="1:7" ht="47.25" x14ac:dyDescent="0.25">
      <c r="A60" s="1316" t="s">
        <v>278</v>
      </c>
      <c r="B60" s="1317" t="s">
        <v>1224</v>
      </c>
      <c r="C60" s="303"/>
      <c r="D60" s="1318">
        <f>+E30</f>
        <v>6.5217391304347824E-2</v>
      </c>
      <c r="E60" s="531"/>
      <c r="F60" s="531"/>
      <c r="G60" s="1311"/>
    </row>
    <row r="61" spans="1:7" ht="31.5" x14ac:dyDescent="0.25">
      <c r="A61" s="1319" t="s">
        <v>272</v>
      </c>
      <c r="B61" s="1320" t="s">
        <v>1223</v>
      </c>
      <c r="C61" s="296"/>
      <c r="D61" s="299"/>
      <c r="E61" s="297">
        <f>+E28</f>
        <v>7.4999999999999997E-2</v>
      </c>
      <c r="F61" s="299"/>
      <c r="G61" s="306"/>
    </row>
    <row r="62" spans="1:7" x14ac:dyDescent="0.25">
      <c r="A62" s="1321" t="s">
        <v>276</v>
      </c>
      <c r="B62" s="1322" t="s">
        <v>277</v>
      </c>
      <c r="C62" s="296"/>
      <c r="D62" s="299"/>
      <c r="E62" s="299"/>
      <c r="F62" s="297">
        <f>+E27</f>
        <v>0.11181818181818182</v>
      </c>
      <c r="G62" s="306"/>
    </row>
    <row r="63" spans="1:7" ht="47.25" x14ac:dyDescent="0.25">
      <c r="A63" s="1323" t="s">
        <v>1226</v>
      </c>
      <c r="B63" s="1324" t="s">
        <v>1227</v>
      </c>
      <c r="C63" s="296"/>
      <c r="D63" s="299"/>
      <c r="E63" s="299"/>
      <c r="F63" s="299"/>
      <c r="G63" s="311">
        <f>+E31</f>
        <v>6.9130434782608691E-2</v>
      </c>
    </row>
    <row r="64" spans="1:7" x14ac:dyDescent="0.25">
      <c r="A64" s="300"/>
      <c r="B64" s="1266" t="s">
        <v>1236</v>
      </c>
      <c r="C64" s="1325" t="s">
        <v>1237</v>
      </c>
      <c r="D64" s="1326">
        <f>+D46/D60</f>
        <v>11500</v>
      </c>
      <c r="E64" s="1326">
        <f>+E48/E61</f>
        <v>11500</v>
      </c>
      <c r="F64" s="1266"/>
      <c r="G64" s="1327">
        <f>+G58/G63</f>
        <v>11500</v>
      </c>
    </row>
    <row r="65" spans="1:7" x14ac:dyDescent="0.25">
      <c r="A65" s="300"/>
      <c r="B65" s="296" t="s">
        <v>1238</v>
      </c>
      <c r="C65" s="296"/>
      <c r="D65" s="299">
        <f>-+$E$18</f>
        <v>-6000</v>
      </c>
      <c r="E65" s="299">
        <f>-+$E$18</f>
        <v>-6000</v>
      </c>
      <c r="F65" s="299"/>
      <c r="G65" s="306">
        <f>-+$E$18</f>
        <v>-6000</v>
      </c>
    </row>
    <row r="66" spans="1:7" ht="16.5" thickBot="1" x14ac:dyDescent="0.3">
      <c r="A66" s="301"/>
      <c r="B66" s="1271" t="s">
        <v>1239</v>
      </c>
      <c r="C66" s="1328" t="s">
        <v>574</v>
      </c>
      <c r="D66" s="1329">
        <f>+D64+D65</f>
        <v>5500</v>
      </c>
      <c r="E66" s="1329">
        <f t="shared" ref="E66:G66" si="2">+E64+E65</f>
        <v>5500</v>
      </c>
      <c r="F66" s="1329">
        <f>+F55/F62</f>
        <v>5500</v>
      </c>
      <c r="G66" s="1330">
        <f t="shared" si="2"/>
        <v>5500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4"/>
  <sheetViews>
    <sheetView showGridLines="0" topLeftCell="A7" workbookViewId="0">
      <selection activeCell="A20" sqref="A20"/>
    </sheetView>
  </sheetViews>
  <sheetFormatPr baseColWidth="10" defaultColWidth="9.140625" defaultRowHeight="15" x14ac:dyDescent="0.25"/>
  <cols>
    <col min="4" max="4" width="12.140625" customWidth="1"/>
    <col min="5" max="5" width="11.7109375" style="402" customWidth="1"/>
  </cols>
  <sheetData>
    <row r="3" spans="2:5" x14ac:dyDescent="0.25">
      <c r="B3" t="s">
        <v>736</v>
      </c>
    </row>
    <row r="4" spans="2:5" x14ac:dyDescent="0.25">
      <c r="B4" t="s">
        <v>729</v>
      </c>
      <c r="E4" s="402">
        <v>100000</v>
      </c>
    </row>
    <row r="5" spans="2:5" x14ac:dyDescent="0.25">
      <c r="B5" t="s">
        <v>730</v>
      </c>
      <c r="E5" s="402">
        <v>2500</v>
      </c>
    </row>
    <row r="6" spans="2:5" x14ac:dyDescent="0.25">
      <c r="B6" s="403" t="s">
        <v>731</v>
      </c>
      <c r="C6" s="403"/>
      <c r="D6" s="403"/>
      <c r="E6" s="404">
        <f>+E4+E5</f>
        <v>102500</v>
      </c>
    </row>
    <row r="8" spans="2:5" x14ac:dyDescent="0.25">
      <c r="B8" t="s">
        <v>732</v>
      </c>
      <c r="E8" s="402">
        <v>65000</v>
      </c>
    </row>
    <row r="9" spans="2:5" x14ac:dyDescent="0.25">
      <c r="B9" t="s">
        <v>733</v>
      </c>
      <c r="E9" s="402">
        <v>2500</v>
      </c>
    </row>
    <row r="10" spans="2:5" x14ac:dyDescent="0.25">
      <c r="B10" s="403" t="s">
        <v>734</v>
      </c>
      <c r="C10" s="403"/>
      <c r="D10" s="403"/>
      <c r="E10" s="404">
        <f>+E8+E9</f>
        <v>67500</v>
      </c>
    </row>
    <row r="12" spans="2:5" x14ac:dyDescent="0.25">
      <c r="B12" s="403" t="s">
        <v>10</v>
      </c>
      <c r="C12" s="403"/>
      <c r="D12" s="403"/>
      <c r="E12" s="404">
        <f>+E6-E10</f>
        <v>35000</v>
      </c>
    </row>
    <row r="15" spans="2:5" x14ac:dyDescent="0.25">
      <c r="B15" t="s">
        <v>735</v>
      </c>
      <c r="E15" s="402" t="s">
        <v>737</v>
      </c>
    </row>
    <row r="17" spans="2:6" x14ac:dyDescent="0.25">
      <c r="B17" t="s">
        <v>729</v>
      </c>
      <c r="E17" s="402">
        <v>100000</v>
      </c>
    </row>
    <row r="18" spans="2:6" x14ac:dyDescent="0.25">
      <c r="B18" t="s">
        <v>730</v>
      </c>
      <c r="E18" s="402">
        <v>2500</v>
      </c>
    </row>
    <row r="19" spans="2:6" x14ac:dyDescent="0.25">
      <c r="B19" s="403" t="s">
        <v>731</v>
      </c>
      <c r="C19" s="403"/>
      <c r="D19" s="403"/>
      <c r="E19" s="404">
        <f>+E17+E18</f>
        <v>102500</v>
      </c>
    </row>
    <row r="21" spans="2:6" x14ac:dyDescent="0.25">
      <c r="B21" t="s">
        <v>738</v>
      </c>
      <c r="E21" s="402">
        <v>8400</v>
      </c>
      <c r="F21" t="s">
        <v>739</v>
      </c>
    </row>
    <row r="22" spans="2:6" x14ac:dyDescent="0.25">
      <c r="B22" t="s">
        <v>740</v>
      </c>
      <c r="E22" s="402">
        <v>2500</v>
      </c>
    </row>
    <row r="24" spans="2:6" x14ac:dyDescent="0.25">
      <c r="B24" s="403" t="s">
        <v>10</v>
      </c>
      <c r="C24" s="403"/>
      <c r="D24" s="403"/>
      <c r="E24" s="404">
        <f>+E19-E21-E22</f>
        <v>91600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topLeftCell="A52" workbookViewId="0">
      <selection activeCell="D59" sqref="D59"/>
    </sheetView>
  </sheetViews>
  <sheetFormatPr baseColWidth="10" defaultColWidth="11.42578125" defaultRowHeight="15" x14ac:dyDescent="0.25"/>
  <cols>
    <col min="1" max="1" width="33.5703125" style="449" customWidth="1"/>
    <col min="2" max="2" width="11.28515625" style="449" bestFit="1" customWidth="1"/>
    <col min="3" max="7" width="13.7109375" style="449" bestFit="1" customWidth="1"/>
    <col min="8" max="8" width="11.140625" style="449" customWidth="1"/>
    <col min="9" max="9" width="14.42578125" style="449" customWidth="1"/>
    <col min="10" max="39" width="9.140625" style="449" customWidth="1"/>
    <col min="40" max="16384" width="11.42578125" style="448"/>
  </cols>
  <sheetData>
    <row r="1" spans="1:8" ht="17.100000000000001" customHeight="1" thickBot="1" x14ac:dyDescent="0.3">
      <c r="A1" s="451"/>
      <c r="B1" s="451"/>
      <c r="C1" s="450"/>
      <c r="D1" s="450"/>
      <c r="E1" s="450"/>
      <c r="F1" s="450"/>
      <c r="G1" s="450"/>
    </row>
    <row r="2" spans="1:8" ht="17.100000000000001" customHeight="1" x14ac:dyDescent="0.25">
      <c r="A2" s="478" t="s">
        <v>771</v>
      </c>
      <c r="B2" s="479"/>
      <c r="C2" s="61"/>
      <c r="D2" s="61"/>
      <c r="E2" s="61"/>
      <c r="F2" s="61"/>
      <c r="G2" s="480"/>
    </row>
    <row r="3" spans="1:8" ht="30.75" customHeight="1" x14ac:dyDescent="0.25">
      <c r="A3" s="481" t="s">
        <v>366</v>
      </c>
      <c r="B3" s="482" t="s">
        <v>772</v>
      </c>
      <c r="C3" s="482" t="s">
        <v>766</v>
      </c>
      <c r="D3" s="482" t="s">
        <v>767</v>
      </c>
      <c r="E3" s="482" t="s">
        <v>768</v>
      </c>
      <c r="F3" s="482" t="s">
        <v>769</v>
      </c>
      <c r="G3" s="483" t="s">
        <v>770</v>
      </c>
    </row>
    <row r="4" spans="1:8" ht="17.100000000000001" customHeight="1" x14ac:dyDescent="0.25">
      <c r="A4" s="102"/>
      <c r="B4" s="484" t="s">
        <v>131</v>
      </c>
      <c r="C4" s="484" t="s">
        <v>131</v>
      </c>
      <c r="D4" s="484" t="s">
        <v>131</v>
      </c>
      <c r="E4" s="484" t="s">
        <v>131</v>
      </c>
      <c r="F4" s="484" t="s">
        <v>131</v>
      </c>
      <c r="G4" s="485" t="s">
        <v>131</v>
      </c>
    </row>
    <row r="5" spans="1:8" ht="17.100000000000001" customHeight="1" x14ac:dyDescent="0.25">
      <c r="A5" s="486" t="s">
        <v>372</v>
      </c>
      <c r="B5" s="487">
        <v>1316612</v>
      </c>
      <c r="C5" s="487">
        <v>2368215</v>
      </c>
      <c r="D5" s="487">
        <v>2325558</v>
      </c>
      <c r="E5" s="487">
        <v>1692477</v>
      </c>
      <c r="F5" s="487">
        <v>1783371</v>
      </c>
      <c r="G5" s="488">
        <v>1320183</v>
      </c>
      <c r="H5" s="452"/>
    </row>
    <row r="6" spans="1:8" ht="17.100000000000001" customHeight="1" x14ac:dyDescent="0.25">
      <c r="A6" s="489" t="s">
        <v>773</v>
      </c>
      <c r="B6" s="490">
        <v>1216578</v>
      </c>
      <c r="C6" s="490">
        <v>1989400</v>
      </c>
      <c r="D6" s="490">
        <v>1921181</v>
      </c>
      <c r="E6" s="490">
        <v>1391928</v>
      </c>
      <c r="F6" s="490">
        <v>1524058</v>
      </c>
      <c r="G6" s="491">
        <v>1103424</v>
      </c>
      <c r="H6" s="452"/>
    </row>
    <row r="7" spans="1:8" ht="17.100000000000001" customHeight="1" x14ac:dyDescent="0.25">
      <c r="A7" s="486" t="s">
        <v>342</v>
      </c>
      <c r="B7" s="492">
        <f>+B5-B6</f>
        <v>100034</v>
      </c>
      <c r="C7" s="492">
        <f>+C5-C6</f>
        <v>378815</v>
      </c>
      <c r="D7" s="492">
        <f t="shared" ref="D7:G7" si="0">+D5-D6</f>
        <v>404377</v>
      </c>
      <c r="E7" s="492">
        <f t="shared" si="0"/>
        <v>300549</v>
      </c>
      <c r="F7" s="492">
        <f t="shared" si="0"/>
        <v>259313</v>
      </c>
      <c r="G7" s="493">
        <f t="shared" si="0"/>
        <v>216759</v>
      </c>
      <c r="H7" s="452"/>
    </row>
    <row r="8" spans="1:8" ht="17.100000000000001" customHeight="1" x14ac:dyDescent="0.25">
      <c r="A8" s="489" t="s">
        <v>407</v>
      </c>
      <c r="B8" s="490">
        <v>81942</v>
      </c>
      <c r="C8" s="490">
        <f>104605-20000</f>
        <v>84605</v>
      </c>
      <c r="D8" s="490">
        <v>79423</v>
      </c>
      <c r="E8" s="490">
        <v>72322</v>
      </c>
      <c r="F8" s="490">
        <v>56573</v>
      </c>
      <c r="G8" s="491">
        <v>52213</v>
      </c>
      <c r="H8" s="452"/>
    </row>
    <row r="9" spans="1:8" ht="17.100000000000001" customHeight="1" x14ac:dyDescent="0.25">
      <c r="A9" s="489" t="s">
        <v>408</v>
      </c>
      <c r="B9" s="494">
        <f>+B7-B8-B10-B11</f>
        <v>48592</v>
      </c>
      <c r="C9" s="494">
        <f>+C7-C8-C10-C11</f>
        <v>63011</v>
      </c>
      <c r="D9" s="494">
        <f t="shared" ref="D9:G9" si="1">+D7-D8-D10-D11</f>
        <v>74789</v>
      </c>
      <c r="E9" s="494">
        <f t="shared" si="1"/>
        <v>55156</v>
      </c>
      <c r="F9" s="494">
        <f t="shared" si="1"/>
        <v>66722</v>
      </c>
      <c r="G9" s="495">
        <f t="shared" si="1"/>
        <v>35713</v>
      </c>
      <c r="H9" s="452"/>
    </row>
    <row r="10" spans="1:8" ht="17.100000000000001" customHeight="1" x14ac:dyDescent="0.25">
      <c r="A10" s="489" t="s">
        <v>774</v>
      </c>
      <c r="B10" s="496">
        <v>11105</v>
      </c>
      <c r="C10" s="490">
        <v>10379</v>
      </c>
      <c r="D10" s="490">
        <v>8052</v>
      </c>
      <c r="E10" s="490">
        <v>7581</v>
      </c>
      <c r="F10" s="490">
        <v>2200</v>
      </c>
      <c r="G10" s="491">
        <v>2833</v>
      </c>
    </row>
    <row r="11" spans="1:8" ht="17.100000000000001" customHeight="1" x14ac:dyDescent="0.25">
      <c r="A11" s="489" t="s">
        <v>62</v>
      </c>
      <c r="B11" s="490">
        <f>58395-100000</f>
        <v>-41605</v>
      </c>
      <c r="C11" s="490">
        <f>200820+20000</f>
        <v>220820</v>
      </c>
      <c r="D11" s="490">
        <v>242113</v>
      </c>
      <c r="E11" s="490">
        <v>165490</v>
      </c>
      <c r="F11" s="490">
        <v>133818</v>
      </c>
      <c r="G11" s="491">
        <v>126000</v>
      </c>
    </row>
    <row r="12" spans="1:8" ht="17.100000000000001" customHeight="1" x14ac:dyDescent="0.25">
      <c r="A12" s="489" t="s">
        <v>410</v>
      </c>
      <c r="B12" s="490">
        <v>3442</v>
      </c>
      <c r="C12" s="490">
        <v>4368</v>
      </c>
      <c r="D12" s="490">
        <v>3965</v>
      </c>
      <c r="E12" s="490">
        <v>2516</v>
      </c>
      <c r="F12" s="490">
        <v>2639</v>
      </c>
      <c r="G12" s="491">
        <v>3149</v>
      </c>
    </row>
    <row r="13" spans="1:8" ht="17.100000000000001" customHeight="1" x14ac:dyDescent="0.25">
      <c r="A13" s="489" t="s">
        <v>411</v>
      </c>
      <c r="B13" s="497">
        <v>32</v>
      </c>
      <c r="C13" s="497">
        <v>124</v>
      </c>
      <c r="D13" s="490">
        <v>1193</v>
      </c>
      <c r="E13" s="497">
        <v>921</v>
      </c>
      <c r="F13" s="497">
        <v>131</v>
      </c>
      <c r="G13" s="498">
        <v>66</v>
      </c>
    </row>
    <row r="14" spans="1:8" ht="17.100000000000001" customHeight="1" x14ac:dyDescent="0.25">
      <c r="A14" s="489" t="s">
        <v>412</v>
      </c>
      <c r="B14" s="490">
        <v>3410</v>
      </c>
      <c r="C14" s="490">
        <v>4244</v>
      </c>
      <c r="D14" s="490">
        <v>2772</v>
      </c>
      <c r="E14" s="490">
        <v>1595</v>
      </c>
      <c r="F14" s="490">
        <v>2508</v>
      </c>
      <c r="G14" s="491">
        <v>3083</v>
      </c>
    </row>
    <row r="15" spans="1:8" ht="36" customHeight="1" x14ac:dyDescent="0.25">
      <c r="A15" s="489" t="s">
        <v>413</v>
      </c>
      <c r="B15" s="490">
        <f>+B11-B14</f>
        <v>-45015</v>
      </c>
      <c r="C15" s="490">
        <f t="shared" ref="C15:G15" si="2">+C11-C14</f>
        <v>216576</v>
      </c>
      <c r="D15" s="490">
        <f t="shared" si="2"/>
        <v>239341</v>
      </c>
      <c r="E15" s="490">
        <f t="shared" si="2"/>
        <v>163895</v>
      </c>
      <c r="F15" s="490">
        <f t="shared" si="2"/>
        <v>131310</v>
      </c>
      <c r="G15" s="491">
        <f t="shared" si="2"/>
        <v>122917</v>
      </c>
    </row>
    <row r="16" spans="1:8" ht="17.100000000000001" customHeight="1" x14ac:dyDescent="0.25">
      <c r="A16" s="489" t="s">
        <v>414</v>
      </c>
      <c r="B16" s="490">
        <f>-B15*-0.25</f>
        <v>-11253.75</v>
      </c>
      <c r="C16" s="490">
        <v>68254</v>
      </c>
      <c r="D16" s="490">
        <v>55710</v>
      </c>
      <c r="E16" s="490">
        <v>38480</v>
      </c>
      <c r="F16" s="497">
        <v>0</v>
      </c>
      <c r="G16" s="491">
        <v>22012</v>
      </c>
    </row>
    <row r="17" spans="1:39" ht="17.100000000000001" customHeight="1" thickBot="1" x14ac:dyDescent="0.3">
      <c r="A17" s="499" t="s">
        <v>415</v>
      </c>
      <c r="B17" s="500">
        <f>+B15-B16</f>
        <v>-33761.25</v>
      </c>
      <c r="C17" s="500">
        <f t="shared" ref="C17:G17" si="3">+C15-C16</f>
        <v>148322</v>
      </c>
      <c r="D17" s="500">
        <f t="shared" si="3"/>
        <v>183631</v>
      </c>
      <c r="E17" s="500">
        <f t="shared" si="3"/>
        <v>125415</v>
      </c>
      <c r="F17" s="500">
        <f t="shared" si="3"/>
        <v>131310</v>
      </c>
      <c r="G17" s="501">
        <f t="shared" si="3"/>
        <v>100905</v>
      </c>
    </row>
    <row r="18" spans="1:39" ht="15.75" thickBot="1" x14ac:dyDescent="0.3"/>
    <row r="19" spans="1:39" x14ac:dyDescent="0.25">
      <c r="A19" s="503"/>
      <c r="B19" s="457"/>
      <c r="C19" s="504" t="s">
        <v>766</v>
      </c>
      <c r="D19" s="504" t="s">
        <v>767</v>
      </c>
      <c r="E19" s="504" t="s">
        <v>768</v>
      </c>
      <c r="F19" s="504" t="s">
        <v>769</v>
      </c>
      <c r="G19" s="504" t="s">
        <v>770</v>
      </c>
      <c r="H19" s="505" t="s">
        <v>66</v>
      </c>
    </row>
    <row r="20" spans="1:39" x14ac:dyDescent="0.25">
      <c r="A20" s="463" t="s">
        <v>775</v>
      </c>
      <c r="B20" s="461"/>
      <c r="C20" s="472">
        <f>+C17/C5</f>
        <v>6.2630293279959795E-2</v>
      </c>
      <c r="D20" s="472">
        <f t="shared" ref="D20:G20" si="4">+D17/D5</f>
        <v>7.8962124358971056E-2</v>
      </c>
      <c r="E20" s="472">
        <f t="shared" si="4"/>
        <v>7.4101450123103596E-2</v>
      </c>
      <c r="F20" s="472">
        <f t="shared" si="4"/>
        <v>7.3630220520575926E-2</v>
      </c>
      <c r="G20" s="472">
        <f t="shared" si="4"/>
        <v>7.6432585482467202E-2</v>
      </c>
      <c r="H20" s="506">
        <f>+AVERAGE(C20:G20)</f>
        <v>7.3151334753015523E-2</v>
      </c>
    </row>
    <row r="21" spans="1:39" ht="15.75" thickBot="1" x14ac:dyDescent="0.3">
      <c r="A21" s="466" t="s">
        <v>776</v>
      </c>
      <c r="B21" s="507"/>
      <c r="C21" s="508">
        <f>+C17/C6</f>
        <v>7.4556147582185581E-2</v>
      </c>
      <c r="D21" s="508">
        <f t="shared" ref="D21:G21" si="5">+D17/D6</f>
        <v>9.5582352729909364E-2</v>
      </c>
      <c r="E21" s="508">
        <f t="shared" si="5"/>
        <v>9.0101643188440786E-2</v>
      </c>
      <c r="F21" s="508">
        <f t="shared" si="5"/>
        <v>8.615813833856717E-2</v>
      </c>
      <c r="G21" s="508">
        <f t="shared" si="5"/>
        <v>9.1447168087697928E-2</v>
      </c>
      <c r="H21" s="509">
        <f>+AVERAGE(C21:G21)</f>
        <v>8.7569089985360157E-2</v>
      </c>
    </row>
    <row r="22" spans="1:39" ht="15.75" thickBot="1" x14ac:dyDescent="0.3">
      <c r="G22" s="454"/>
      <c r="AM22" s="448"/>
    </row>
    <row r="23" spans="1:39" x14ac:dyDescent="0.25">
      <c r="A23" s="456" t="s">
        <v>771</v>
      </c>
      <c r="B23" s="457"/>
      <c r="C23" s="457"/>
      <c r="D23" s="457"/>
      <c r="E23" s="457"/>
      <c r="F23" s="457"/>
      <c r="G23" s="457"/>
      <c r="H23" s="458"/>
      <c r="AM23" s="448"/>
    </row>
    <row r="24" spans="1:39" x14ac:dyDescent="0.25">
      <c r="A24" s="459" t="s">
        <v>777</v>
      </c>
      <c r="B24" s="460" t="s">
        <v>766</v>
      </c>
      <c r="C24" s="460" t="s">
        <v>767</v>
      </c>
      <c r="D24" s="460" t="s">
        <v>768</v>
      </c>
      <c r="E24" s="460" t="s">
        <v>769</v>
      </c>
      <c r="F24" s="460" t="s">
        <v>770</v>
      </c>
      <c r="G24" s="461" t="s">
        <v>778</v>
      </c>
      <c r="H24" s="462"/>
      <c r="AM24" s="448"/>
    </row>
    <row r="25" spans="1:39" x14ac:dyDescent="0.25">
      <c r="A25" s="463" t="s">
        <v>779</v>
      </c>
      <c r="B25" s="464">
        <v>1296564</v>
      </c>
      <c r="C25" s="464">
        <v>1253480</v>
      </c>
      <c r="D25" s="464">
        <v>1219350</v>
      </c>
      <c r="E25" s="464">
        <v>1152401</v>
      </c>
      <c r="F25" s="464">
        <v>1010964</v>
      </c>
      <c r="G25" s="464">
        <f>SUM(B25:F25)</f>
        <v>5932759</v>
      </c>
      <c r="H25" s="465">
        <f>+G25/G$25</f>
        <v>1</v>
      </c>
      <c r="AM25" s="448"/>
    </row>
    <row r="26" spans="1:39" x14ac:dyDescent="0.25">
      <c r="A26" s="463" t="s">
        <v>780</v>
      </c>
      <c r="B26" s="464">
        <f>+B25*0.7523</f>
        <v>975405.09719999996</v>
      </c>
      <c r="C26" s="464">
        <f>+C25*0.749</f>
        <v>938856.52</v>
      </c>
      <c r="D26" s="464">
        <f>+D25*0.7493</f>
        <v>913658.95499999996</v>
      </c>
      <c r="E26" s="464">
        <f>+E25*0.7501</f>
        <v>864415.99009999994</v>
      </c>
      <c r="F26" s="464">
        <v>751411</v>
      </c>
      <c r="G26" s="464">
        <f>SUM(B26:F26)</f>
        <v>4443747.5623000003</v>
      </c>
      <c r="H26" s="465">
        <f t="shared" ref="H26:H27" si="6">+G26/G$25</f>
        <v>0.74901872169424044</v>
      </c>
      <c r="AM26" s="448"/>
    </row>
    <row r="27" spans="1:39" x14ac:dyDescent="0.25">
      <c r="A27" s="463" t="s">
        <v>781</v>
      </c>
      <c r="B27" s="464">
        <f>+B25-B26</f>
        <v>321158.90280000004</v>
      </c>
      <c r="C27" s="464">
        <f t="shared" ref="C27:G27" si="7">+C25-C26</f>
        <v>314623.48</v>
      </c>
      <c r="D27" s="464">
        <f t="shared" si="7"/>
        <v>305691.04500000004</v>
      </c>
      <c r="E27" s="464">
        <f t="shared" si="7"/>
        <v>287985.00990000006</v>
      </c>
      <c r="F27" s="464">
        <f t="shared" si="7"/>
        <v>259553</v>
      </c>
      <c r="G27" s="464">
        <f t="shared" si="7"/>
        <v>1489011.4376999997</v>
      </c>
      <c r="H27" s="465">
        <f t="shared" si="6"/>
        <v>0.25098127830575956</v>
      </c>
      <c r="AM27" s="448"/>
    </row>
    <row r="28" spans="1:39" x14ac:dyDescent="0.25">
      <c r="A28" s="463"/>
      <c r="B28" s="464"/>
      <c r="C28" s="464"/>
      <c r="D28" s="464"/>
      <c r="E28" s="464"/>
      <c r="F28" s="464"/>
      <c r="G28" s="464"/>
      <c r="H28" s="465"/>
      <c r="AM28" s="448"/>
    </row>
    <row r="29" spans="1:39" ht="15.75" thickBot="1" x14ac:dyDescent="0.3">
      <c r="A29" s="466" t="s">
        <v>782</v>
      </c>
      <c r="B29" s="467">
        <v>960475</v>
      </c>
      <c r="C29" s="467">
        <v>925600</v>
      </c>
      <c r="D29" s="467">
        <v>675418</v>
      </c>
      <c r="E29" s="467">
        <v>735482</v>
      </c>
      <c r="F29" s="467">
        <v>539567.81000000006</v>
      </c>
      <c r="G29" s="467">
        <f>SUM(B29:F29)</f>
        <v>3836542.81</v>
      </c>
      <c r="H29" s="468"/>
      <c r="AM29" s="448"/>
    </row>
    <row r="30" spans="1:39" x14ac:dyDescent="0.25">
      <c r="AM30" s="448"/>
    </row>
    <row r="31" spans="1:39" ht="15.75" thickBot="1" x14ac:dyDescent="0.3">
      <c r="AM31" s="448"/>
    </row>
    <row r="32" spans="1:39" x14ac:dyDescent="0.25">
      <c r="A32" s="469" t="s">
        <v>783</v>
      </c>
      <c r="B32" s="457"/>
      <c r="C32" s="457"/>
      <c r="D32" s="457"/>
      <c r="E32" s="457"/>
      <c r="F32" s="457"/>
      <c r="G32" s="457"/>
      <c r="H32" s="458"/>
    </row>
    <row r="33" spans="1:8" x14ac:dyDescent="0.25">
      <c r="A33" s="463"/>
      <c r="B33" s="461" t="s">
        <v>772</v>
      </c>
      <c r="C33" s="461" t="s">
        <v>784</v>
      </c>
      <c r="D33" s="461" t="s">
        <v>785</v>
      </c>
      <c r="E33" s="461" t="s">
        <v>786</v>
      </c>
      <c r="F33" s="461" t="s">
        <v>787</v>
      </c>
      <c r="G33" s="461" t="s">
        <v>788</v>
      </c>
      <c r="H33" s="462"/>
    </row>
    <row r="34" spans="1:8" x14ac:dyDescent="0.25">
      <c r="A34" s="463"/>
      <c r="B34" s="470">
        <v>0.02</v>
      </c>
      <c r="C34" s="470">
        <v>0.02</v>
      </c>
      <c r="D34" s="470">
        <v>0.02</v>
      </c>
      <c r="E34" s="470">
        <v>0.02</v>
      </c>
      <c r="F34" s="470">
        <v>0.02</v>
      </c>
      <c r="G34" s="470">
        <v>0.02</v>
      </c>
      <c r="H34" s="462"/>
    </row>
    <row r="35" spans="1:8" x14ac:dyDescent="0.25">
      <c r="A35" s="471" t="s">
        <v>789</v>
      </c>
      <c r="B35" s="464">
        <f>+B27*(1+B34)</f>
        <v>327582.08085600007</v>
      </c>
      <c r="C35" s="464">
        <f>+B35*(1+C34)</f>
        <v>334133.72247312008</v>
      </c>
      <c r="D35" s="464">
        <f t="shared" ref="D35:G35" si="8">+C35*(1+D34)</f>
        <v>340816.39692258247</v>
      </c>
      <c r="E35" s="464">
        <f t="shared" si="8"/>
        <v>347632.72486103413</v>
      </c>
      <c r="F35" s="464">
        <f t="shared" si="8"/>
        <v>354585.37935825484</v>
      </c>
      <c r="G35" s="464">
        <f t="shared" si="8"/>
        <v>361677.08694541996</v>
      </c>
      <c r="H35" s="462"/>
    </row>
    <row r="36" spans="1:8" x14ac:dyDescent="0.25">
      <c r="A36" s="471" t="s">
        <v>790</v>
      </c>
      <c r="B36" s="472">
        <v>0.04</v>
      </c>
      <c r="C36" s="473"/>
      <c r="D36" s="473"/>
      <c r="E36" s="473"/>
      <c r="F36" s="473"/>
      <c r="G36" s="473"/>
      <c r="H36" s="462"/>
    </row>
    <row r="37" spans="1:8" ht="15.75" thickBot="1" x14ac:dyDescent="0.3">
      <c r="A37" s="474" t="s">
        <v>791</v>
      </c>
      <c r="B37" s="475">
        <f>+NPV(B36,B35:G35)</f>
        <v>1801332.6155267588</v>
      </c>
      <c r="C37" s="476"/>
      <c r="D37" s="476"/>
      <c r="E37" s="476"/>
      <c r="F37" s="476"/>
      <c r="G37" s="476"/>
      <c r="H37" s="477"/>
    </row>
    <row r="39" spans="1:8" ht="15.75" thickBot="1" x14ac:dyDescent="0.3"/>
    <row r="40" spans="1:8" x14ac:dyDescent="0.25">
      <c r="A40" s="469" t="s">
        <v>792</v>
      </c>
      <c r="B40" s="457"/>
      <c r="C40" s="457"/>
      <c r="D40" s="457"/>
      <c r="E40" s="457"/>
      <c r="F40" s="457"/>
      <c r="G40" s="457"/>
      <c r="H40" s="458"/>
    </row>
    <row r="41" spans="1:8" x14ac:dyDescent="0.25">
      <c r="A41" s="463"/>
      <c r="B41" s="460" t="s">
        <v>766</v>
      </c>
      <c r="C41" s="460" t="s">
        <v>767</v>
      </c>
      <c r="D41" s="460" t="s">
        <v>768</v>
      </c>
      <c r="E41" s="460" t="s">
        <v>769</v>
      </c>
      <c r="F41" s="460" t="s">
        <v>770</v>
      </c>
      <c r="G41" s="461" t="s">
        <v>793</v>
      </c>
      <c r="H41" s="462"/>
    </row>
    <row r="42" spans="1:8" x14ac:dyDescent="0.25">
      <c r="A42" s="463"/>
      <c r="B42" s="470"/>
      <c r="C42" s="470"/>
      <c r="D42" s="470"/>
      <c r="E42" s="470"/>
      <c r="F42" s="470"/>
      <c r="G42" s="470"/>
      <c r="H42" s="462"/>
    </row>
    <row r="43" spans="1:8" x14ac:dyDescent="0.25">
      <c r="A43" s="471" t="str">
        <f>+A25</f>
        <v>Ventas a clientes</v>
      </c>
      <c r="B43" s="464">
        <f>+B25</f>
        <v>1296564</v>
      </c>
      <c r="C43" s="464">
        <f t="shared" ref="C43:D43" si="9">+C25</f>
        <v>1253480</v>
      </c>
      <c r="D43" s="464">
        <f t="shared" si="9"/>
        <v>1219350</v>
      </c>
      <c r="E43" s="464">
        <f t="shared" ref="E43:F43" si="10">+E25</f>
        <v>1152401</v>
      </c>
      <c r="F43" s="464">
        <f t="shared" si="10"/>
        <v>1010964</v>
      </c>
      <c r="G43" s="464">
        <f>+AVERAGE(B43:F43)</f>
        <v>1186551.8</v>
      </c>
      <c r="H43" s="462"/>
    </row>
    <row r="44" spans="1:8" x14ac:dyDescent="0.25">
      <c r="A44" s="471" t="str">
        <f>+A26</f>
        <v>Consumos</v>
      </c>
      <c r="B44" s="464">
        <f t="shared" ref="B44:D45" si="11">+B26</f>
        <v>975405.09719999996</v>
      </c>
      <c r="C44" s="464">
        <f t="shared" si="11"/>
        <v>938856.52</v>
      </c>
      <c r="D44" s="464">
        <f t="shared" si="11"/>
        <v>913658.95499999996</v>
      </c>
      <c r="E44" s="464">
        <f t="shared" ref="E44:F44" si="12">+E26</f>
        <v>864415.99009999994</v>
      </c>
      <c r="F44" s="464">
        <f t="shared" si="12"/>
        <v>751411</v>
      </c>
      <c r="G44" s="464">
        <f t="shared" ref="G44:G45" si="13">+AVERAGE(B44:F44)</f>
        <v>888749.51246000011</v>
      </c>
      <c r="H44" s="462"/>
    </row>
    <row r="45" spans="1:8" ht="15.75" thickBot="1" x14ac:dyDescent="0.3">
      <c r="A45" s="474" t="str">
        <f>+A27</f>
        <v>Margen comercial</v>
      </c>
      <c r="B45" s="467">
        <f t="shared" si="11"/>
        <v>321158.90280000004</v>
      </c>
      <c r="C45" s="467">
        <f t="shared" si="11"/>
        <v>314623.48</v>
      </c>
      <c r="D45" s="467">
        <f t="shared" si="11"/>
        <v>305691.04500000004</v>
      </c>
      <c r="E45" s="467">
        <f t="shared" ref="E45:F45" si="14">+E27</f>
        <v>287985.00990000006</v>
      </c>
      <c r="F45" s="467">
        <f t="shared" si="14"/>
        <v>259553</v>
      </c>
      <c r="G45" s="502">
        <f t="shared" si="13"/>
        <v>297802.28754000005</v>
      </c>
      <c r="H45" s="477"/>
    </row>
    <row r="46" spans="1:8" x14ac:dyDescent="0.25">
      <c r="B46" s="455"/>
      <c r="F46" s="448"/>
    </row>
    <row r="47" spans="1:8" ht="15.75" thickBot="1" x14ac:dyDescent="0.3"/>
    <row r="48" spans="1:8" x14ac:dyDescent="0.25">
      <c r="A48" s="469" t="s">
        <v>794</v>
      </c>
      <c r="B48" s="457"/>
      <c r="C48" s="457"/>
      <c r="D48" s="457"/>
      <c r="E48" s="457"/>
      <c r="F48" s="457"/>
      <c r="G48" s="457"/>
      <c r="H48" s="458"/>
    </row>
    <row r="49" spans="1:8" x14ac:dyDescent="0.25">
      <c r="A49" s="463"/>
      <c r="B49" s="460" t="s">
        <v>766</v>
      </c>
      <c r="C49" s="460" t="s">
        <v>767</v>
      </c>
      <c r="D49" s="460" t="s">
        <v>768</v>
      </c>
      <c r="E49" s="460" t="s">
        <v>769</v>
      </c>
      <c r="F49" s="460" t="s">
        <v>770</v>
      </c>
      <c r="G49" s="461" t="s">
        <v>84</v>
      </c>
      <c r="H49" s="462"/>
    </row>
    <row r="50" spans="1:8" x14ac:dyDescent="0.25">
      <c r="A50" s="463"/>
      <c r="B50" s="470"/>
      <c r="C50" s="470"/>
      <c r="D50" s="470"/>
      <c r="E50" s="470"/>
      <c r="F50" s="470"/>
      <c r="G50" s="470"/>
      <c r="H50" s="462"/>
    </row>
    <row r="51" spans="1:8" x14ac:dyDescent="0.25">
      <c r="A51" s="463" t="s">
        <v>795</v>
      </c>
      <c r="B51" s="464">
        <v>960475</v>
      </c>
      <c r="C51" s="464">
        <v>925600</v>
      </c>
      <c r="D51" s="464">
        <v>675418</v>
      </c>
      <c r="E51" s="464">
        <v>735482</v>
      </c>
      <c r="F51" s="464">
        <v>539568</v>
      </c>
      <c r="G51" s="464">
        <f>SUM(B51:F51)</f>
        <v>3836543</v>
      </c>
      <c r="H51" s="462"/>
    </row>
    <row r="52" spans="1:8" x14ac:dyDescent="0.25">
      <c r="A52" s="471" t="s">
        <v>796</v>
      </c>
      <c r="B52" s="464">
        <f>+AVERAGE(B51:F51)</f>
        <v>767308.6</v>
      </c>
      <c r="C52" s="464">
        <f t="shared" ref="C52:F52" si="15">+C34</f>
        <v>0.02</v>
      </c>
      <c r="D52" s="464">
        <f t="shared" si="15"/>
        <v>0.02</v>
      </c>
      <c r="E52" s="464">
        <f t="shared" si="15"/>
        <v>0.02</v>
      </c>
      <c r="F52" s="464">
        <f t="shared" si="15"/>
        <v>0.02</v>
      </c>
      <c r="G52" s="464">
        <f t="shared" ref="G52" si="16">+AVERAGE(B52:F52)</f>
        <v>153461.736</v>
      </c>
      <c r="H52" s="462"/>
    </row>
    <row r="53" spans="1:8" x14ac:dyDescent="0.25">
      <c r="A53" s="471" t="s">
        <v>797</v>
      </c>
      <c r="B53" s="510">
        <f>ROUND(+H21,4)</f>
        <v>8.7599999999999997E-2</v>
      </c>
      <c r="C53" s="464"/>
      <c r="D53" s="464"/>
      <c r="E53" s="464"/>
      <c r="F53" s="464"/>
      <c r="G53" s="464"/>
      <c r="H53" s="462"/>
    </row>
    <row r="54" spans="1:8" ht="15.75" thickBot="1" x14ac:dyDescent="0.3">
      <c r="A54" s="511" t="s">
        <v>798</v>
      </c>
      <c r="B54" s="512">
        <f>+B52*B53</f>
        <v>67216.233359999998</v>
      </c>
      <c r="C54" s="513"/>
      <c r="D54" s="513"/>
      <c r="E54" s="513"/>
      <c r="F54" s="513"/>
      <c r="G54" s="513"/>
      <c r="H54" s="514"/>
    </row>
    <row r="55" spans="1:8" ht="15.75" thickBot="1" x14ac:dyDescent="0.3"/>
    <row r="56" spans="1:8" ht="15.75" thickBot="1" x14ac:dyDescent="0.3">
      <c r="A56" s="515" t="s">
        <v>799</v>
      </c>
      <c r="B56" s="518">
        <f>+B54/2</f>
        <v>33608.116679999999</v>
      </c>
      <c r="C56" s="516" t="s">
        <v>800</v>
      </c>
      <c r="D56" s="516"/>
      <c r="E56" s="516"/>
      <c r="F56" s="516"/>
      <c r="G56" s="516"/>
      <c r="H56" s="517"/>
    </row>
    <row r="59" spans="1:8" x14ac:dyDescent="0.25">
      <c r="A59" s="453" t="s">
        <v>801</v>
      </c>
    </row>
    <row r="61" spans="1:8" x14ac:dyDescent="0.25">
      <c r="A61" s="449" t="s">
        <v>803</v>
      </c>
    </row>
    <row r="62" spans="1:8" x14ac:dyDescent="0.25">
      <c r="A62" s="449" t="s">
        <v>802</v>
      </c>
    </row>
    <row r="63" spans="1:8" x14ac:dyDescent="0.25">
      <c r="A63" s="449" t="s">
        <v>804</v>
      </c>
    </row>
    <row r="64" spans="1:8" x14ac:dyDescent="0.25">
      <c r="A64" s="449" t="s">
        <v>805</v>
      </c>
    </row>
    <row r="65" spans="1:1" x14ac:dyDescent="0.25">
      <c r="A65" s="449" t="s">
        <v>806</v>
      </c>
    </row>
    <row r="66" spans="1:1" x14ac:dyDescent="0.25">
      <c r="A66" s="449" t="s">
        <v>807</v>
      </c>
    </row>
    <row r="67" spans="1:1" x14ac:dyDescent="0.25">
      <c r="A67" s="449" t="s">
        <v>808</v>
      </c>
    </row>
    <row r="68" spans="1:1" x14ac:dyDescent="0.25">
      <c r="A68" s="449" t="s">
        <v>809</v>
      </c>
    </row>
    <row r="69" spans="1:1" x14ac:dyDescent="0.25">
      <c r="A69" s="449" t="s">
        <v>810</v>
      </c>
    </row>
    <row r="71" spans="1:1" x14ac:dyDescent="0.25">
      <c r="A71" s="449" t="s">
        <v>811</v>
      </c>
    </row>
    <row r="72" spans="1:1" x14ac:dyDescent="0.25">
      <c r="A72" s="449" t="s">
        <v>812</v>
      </c>
    </row>
    <row r="73" spans="1:1" x14ac:dyDescent="0.25">
      <c r="A73" s="449" t="s">
        <v>813</v>
      </c>
    </row>
    <row r="74" spans="1:1" x14ac:dyDescent="0.25">
      <c r="A74" s="449" t="s">
        <v>814</v>
      </c>
    </row>
    <row r="75" spans="1:1" x14ac:dyDescent="0.25">
      <c r="A75" s="449" t="s">
        <v>815</v>
      </c>
    </row>
    <row r="76" spans="1:1" x14ac:dyDescent="0.25">
      <c r="A76" s="449" t="s">
        <v>816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showGridLines="0" workbookViewId="0">
      <selection activeCell="L14" sqref="L14"/>
    </sheetView>
  </sheetViews>
  <sheetFormatPr baseColWidth="10" defaultColWidth="9.140625" defaultRowHeight="15" x14ac:dyDescent="0.25"/>
  <sheetData>
    <row r="3" spans="2:2" x14ac:dyDescent="0.25">
      <c r="B3" t="s">
        <v>817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showGridLines="0" workbookViewId="0">
      <selection activeCell="G10" sqref="G10"/>
    </sheetView>
  </sheetViews>
  <sheetFormatPr baseColWidth="10" defaultColWidth="9.140625" defaultRowHeight="15" x14ac:dyDescent="0.25"/>
  <sheetData>
    <row r="3" spans="2:2" x14ac:dyDescent="0.25">
      <c r="B3" t="s">
        <v>818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7"/>
  <sheetViews>
    <sheetView showGridLines="0" zoomScale="75" zoomScaleNormal="75" workbookViewId="0">
      <selection activeCell="K14" sqref="K14"/>
    </sheetView>
  </sheetViews>
  <sheetFormatPr baseColWidth="10" defaultColWidth="11.42578125" defaultRowHeight="15" x14ac:dyDescent="0.25"/>
  <cols>
    <col min="1" max="1" width="11.42578125" style="202"/>
    <col min="2" max="2" width="19.5703125" style="202" customWidth="1"/>
    <col min="3" max="3" width="13.42578125" style="202" customWidth="1"/>
    <col min="4" max="4" width="11.42578125" style="202" customWidth="1"/>
    <col min="5" max="5" width="13.140625" style="202" customWidth="1"/>
    <col min="6" max="6" width="14" style="202" customWidth="1"/>
    <col min="7" max="7" width="13.7109375" style="202" customWidth="1"/>
    <col min="8" max="8" width="13.5703125" style="202" customWidth="1"/>
    <col min="9" max="9" width="13.42578125" style="202" customWidth="1"/>
    <col min="10" max="10" width="13.7109375" style="202" customWidth="1"/>
    <col min="11" max="11" width="11.42578125" style="202"/>
    <col min="12" max="12" width="17" style="202" customWidth="1"/>
    <col min="13" max="13" width="13.42578125" style="202" customWidth="1"/>
    <col min="14" max="14" width="11.7109375" style="202" bestFit="1" customWidth="1"/>
    <col min="15" max="19" width="13.140625" style="202" bestFit="1" customWidth="1"/>
    <col min="20" max="20" width="13.28515625" style="202" bestFit="1" customWidth="1"/>
    <col min="21" max="257" width="11.42578125" style="202"/>
    <col min="258" max="258" width="19.5703125" style="202" customWidth="1"/>
    <col min="259" max="259" width="11.5703125" style="202" customWidth="1"/>
    <col min="260" max="264" width="11.42578125" style="202" customWidth="1"/>
    <col min="265" max="265" width="11.5703125" style="202" customWidth="1"/>
    <col min="266" max="266" width="11.42578125" style="202" customWidth="1"/>
    <col min="267" max="268" width="11.42578125" style="202"/>
    <col min="269" max="269" width="13.42578125" style="202" customWidth="1"/>
    <col min="270" max="270" width="11.5703125" style="202" bestFit="1" customWidth="1"/>
    <col min="271" max="513" width="11.42578125" style="202"/>
    <col min="514" max="514" width="19.5703125" style="202" customWidth="1"/>
    <col min="515" max="515" width="11.5703125" style="202" customWidth="1"/>
    <col min="516" max="520" width="11.42578125" style="202" customWidth="1"/>
    <col min="521" max="521" width="11.5703125" style="202" customWidth="1"/>
    <col min="522" max="522" width="11.42578125" style="202" customWidth="1"/>
    <col min="523" max="524" width="11.42578125" style="202"/>
    <col min="525" max="525" width="13.42578125" style="202" customWidth="1"/>
    <col min="526" max="526" width="11.5703125" style="202" bestFit="1" customWidth="1"/>
    <col min="527" max="769" width="11.42578125" style="202"/>
    <col min="770" max="770" width="19.5703125" style="202" customWidth="1"/>
    <col min="771" max="771" width="11.5703125" style="202" customWidth="1"/>
    <col min="772" max="776" width="11.42578125" style="202" customWidth="1"/>
    <col min="777" max="777" width="11.5703125" style="202" customWidth="1"/>
    <col min="778" max="778" width="11.42578125" style="202" customWidth="1"/>
    <col min="779" max="780" width="11.42578125" style="202"/>
    <col min="781" max="781" width="13.42578125" style="202" customWidth="1"/>
    <col min="782" max="782" width="11.5703125" style="202" bestFit="1" customWidth="1"/>
    <col min="783" max="1025" width="11.42578125" style="202"/>
    <col min="1026" max="1026" width="19.5703125" style="202" customWidth="1"/>
    <col min="1027" max="1027" width="11.5703125" style="202" customWidth="1"/>
    <col min="1028" max="1032" width="11.42578125" style="202" customWidth="1"/>
    <col min="1033" max="1033" width="11.5703125" style="202" customWidth="1"/>
    <col min="1034" max="1034" width="11.42578125" style="202" customWidth="1"/>
    <col min="1035" max="1036" width="11.42578125" style="202"/>
    <col min="1037" max="1037" width="13.42578125" style="202" customWidth="1"/>
    <col min="1038" max="1038" width="11.5703125" style="202" bestFit="1" customWidth="1"/>
    <col min="1039" max="1281" width="11.42578125" style="202"/>
    <col min="1282" max="1282" width="19.5703125" style="202" customWidth="1"/>
    <col min="1283" max="1283" width="11.5703125" style="202" customWidth="1"/>
    <col min="1284" max="1288" width="11.42578125" style="202" customWidth="1"/>
    <col min="1289" max="1289" width="11.5703125" style="202" customWidth="1"/>
    <col min="1290" max="1290" width="11.42578125" style="202" customWidth="1"/>
    <col min="1291" max="1292" width="11.42578125" style="202"/>
    <col min="1293" max="1293" width="13.42578125" style="202" customWidth="1"/>
    <col min="1294" max="1294" width="11.5703125" style="202" bestFit="1" customWidth="1"/>
    <col min="1295" max="1537" width="11.42578125" style="202"/>
    <col min="1538" max="1538" width="19.5703125" style="202" customWidth="1"/>
    <col min="1539" max="1539" width="11.5703125" style="202" customWidth="1"/>
    <col min="1540" max="1544" width="11.42578125" style="202" customWidth="1"/>
    <col min="1545" max="1545" width="11.5703125" style="202" customWidth="1"/>
    <col min="1546" max="1546" width="11.42578125" style="202" customWidth="1"/>
    <col min="1547" max="1548" width="11.42578125" style="202"/>
    <col min="1549" max="1549" width="13.42578125" style="202" customWidth="1"/>
    <col min="1550" max="1550" width="11.5703125" style="202" bestFit="1" customWidth="1"/>
    <col min="1551" max="1793" width="11.42578125" style="202"/>
    <col min="1794" max="1794" width="19.5703125" style="202" customWidth="1"/>
    <col min="1795" max="1795" width="11.5703125" style="202" customWidth="1"/>
    <col min="1796" max="1800" width="11.42578125" style="202" customWidth="1"/>
    <col min="1801" max="1801" width="11.5703125" style="202" customWidth="1"/>
    <col min="1802" max="1802" width="11.42578125" style="202" customWidth="1"/>
    <col min="1803" max="1804" width="11.42578125" style="202"/>
    <col min="1805" max="1805" width="13.42578125" style="202" customWidth="1"/>
    <col min="1806" max="1806" width="11.5703125" style="202" bestFit="1" customWidth="1"/>
    <col min="1807" max="2049" width="11.42578125" style="202"/>
    <col min="2050" max="2050" width="19.5703125" style="202" customWidth="1"/>
    <col min="2051" max="2051" width="11.5703125" style="202" customWidth="1"/>
    <col min="2052" max="2056" width="11.42578125" style="202" customWidth="1"/>
    <col min="2057" max="2057" width="11.5703125" style="202" customWidth="1"/>
    <col min="2058" max="2058" width="11.42578125" style="202" customWidth="1"/>
    <col min="2059" max="2060" width="11.42578125" style="202"/>
    <col min="2061" max="2061" width="13.42578125" style="202" customWidth="1"/>
    <col min="2062" max="2062" width="11.5703125" style="202" bestFit="1" customWidth="1"/>
    <col min="2063" max="2305" width="11.42578125" style="202"/>
    <col min="2306" max="2306" width="19.5703125" style="202" customWidth="1"/>
    <col min="2307" max="2307" width="11.5703125" style="202" customWidth="1"/>
    <col min="2308" max="2312" width="11.42578125" style="202" customWidth="1"/>
    <col min="2313" max="2313" width="11.5703125" style="202" customWidth="1"/>
    <col min="2314" max="2314" width="11.42578125" style="202" customWidth="1"/>
    <col min="2315" max="2316" width="11.42578125" style="202"/>
    <col min="2317" max="2317" width="13.42578125" style="202" customWidth="1"/>
    <col min="2318" max="2318" width="11.5703125" style="202" bestFit="1" customWidth="1"/>
    <col min="2319" max="2561" width="11.42578125" style="202"/>
    <col min="2562" max="2562" width="19.5703125" style="202" customWidth="1"/>
    <col min="2563" max="2563" width="11.5703125" style="202" customWidth="1"/>
    <col min="2564" max="2568" width="11.42578125" style="202" customWidth="1"/>
    <col min="2569" max="2569" width="11.5703125" style="202" customWidth="1"/>
    <col min="2570" max="2570" width="11.42578125" style="202" customWidth="1"/>
    <col min="2571" max="2572" width="11.42578125" style="202"/>
    <col min="2573" max="2573" width="13.42578125" style="202" customWidth="1"/>
    <col min="2574" max="2574" width="11.5703125" style="202" bestFit="1" customWidth="1"/>
    <col min="2575" max="2817" width="11.42578125" style="202"/>
    <col min="2818" max="2818" width="19.5703125" style="202" customWidth="1"/>
    <col min="2819" max="2819" width="11.5703125" style="202" customWidth="1"/>
    <col min="2820" max="2824" width="11.42578125" style="202" customWidth="1"/>
    <col min="2825" max="2825" width="11.5703125" style="202" customWidth="1"/>
    <col min="2826" max="2826" width="11.42578125" style="202" customWidth="1"/>
    <col min="2827" max="2828" width="11.42578125" style="202"/>
    <col min="2829" max="2829" width="13.42578125" style="202" customWidth="1"/>
    <col min="2830" max="2830" width="11.5703125" style="202" bestFit="1" customWidth="1"/>
    <col min="2831" max="3073" width="11.42578125" style="202"/>
    <col min="3074" max="3074" width="19.5703125" style="202" customWidth="1"/>
    <col min="3075" max="3075" width="11.5703125" style="202" customWidth="1"/>
    <col min="3076" max="3080" width="11.42578125" style="202" customWidth="1"/>
    <col min="3081" max="3081" width="11.5703125" style="202" customWidth="1"/>
    <col min="3082" max="3082" width="11.42578125" style="202" customWidth="1"/>
    <col min="3083" max="3084" width="11.42578125" style="202"/>
    <col min="3085" max="3085" width="13.42578125" style="202" customWidth="1"/>
    <col min="3086" max="3086" width="11.5703125" style="202" bestFit="1" customWidth="1"/>
    <col min="3087" max="3329" width="11.42578125" style="202"/>
    <col min="3330" max="3330" width="19.5703125" style="202" customWidth="1"/>
    <col min="3331" max="3331" width="11.5703125" style="202" customWidth="1"/>
    <col min="3332" max="3336" width="11.42578125" style="202" customWidth="1"/>
    <col min="3337" max="3337" width="11.5703125" style="202" customWidth="1"/>
    <col min="3338" max="3338" width="11.42578125" style="202" customWidth="1"/>
    <col min="3339" max="3340" width="11.42578125" style="202"/>
    <col min="3341" max="3341" width="13.42578125" style="202" customWidth="1"/>
    <col min="3342" max="3342" width="11.5703125" style="202" bestFit="1" customWidth="1"/>
    <col min="3343" max="3585" width="11.42578125" style="202"/>
    <col min="3586" max="3586" width="19.5703125" style="202" customWidth="1"/>
    <col min="3587" max="3587" width="11.5703125" style="202" customWidth="1"/>
    <col min="3588" max="3592" width="11.42578125" style="202" customWidth="1"/>
    <col min="3593" max="3593" width="11.5703125" style="202" customWidth="1"/>
    <col min="3594" max="3594" width="11.42578125" style="202" customWidth="1"/>
    <col min="3595" max="3596" width="11.42578125" style="202"/>
    <col min="3597" max="3597" width="13.42578125" style="202" customWidth="1"/>
    <col min="3598" max="3598" width="11.5703125" style="202" bestFit="1" customWidth="1"/>
    <col min="3599" max="3841" width="11.42578125" style="202"/>
    <col min="3842" max="3842" width="19.5703125" style="202" customWidth="1"/>
    <col min="3843" max="3843" width="11.5703125" style="202" customWidth="1"/>
    <col min="3844" max="3848" width="11.42578125" style="202" customWidth="1"/>
    <col min="3849" max="3849" width="11.5703125" style="202" customWidth="1"/>
    <col min="3850" max="3850" width="11.42578125" style="202" customWidth="1"/>
    <col min="3851" max="3852" width="11.42578125" style="202"/>
    <col min="3853" max="3853" width="13.42578125" style="202" customWidth="1"/>
    <col min="3854" max="3854" width="11.5703125" style="202" bestFit="1" customWidth="1"/>
    <col min="3855" max="4097" width="11.42578125" style="202"/>
    <col min="4098" max="4098" width="19.5703125" style="202" customWidth="1"/>
    <col min="4099" max="4099" width="11.5703125" style="202" customWidth="1"/>
    <col min="4100" max="4104" width="11.42578125" style="202" customWidth="1"/>
    <col min="4105" max="4105" width="11.5703125" style="202" customWidth="1"/>
    <col min="4106" max="4106" width="11.42578125" style="202" customWidth="1"/>
    <col min="4107" max="4108" width="11.42578125" style="202"/>
    <col min="4109" max="4109" width="13.42578125" style="202" customWidth="1"/>
    <col min="4110" max="4110" width="11.5703125" style="202" bestFit="1" customWidth="1"/>
    <col min="4111" max="4353" width="11.42578125" style="202"/>
    <col min="4354" max="4354" width="19.5703125" style="202" customWidth="1"/>
    <col min="4355" max="4355" width="11.5703125" style="202" customWidth="1"/>
    <col min="4356" max="4360" width="11.42578125" style="202" customWidth="1"/>
    <col min="4361" max="4361" width="11.5703125" style="202" customWidth="1"/>
    <col min="4362" max="4362" width="11.42578125" style="202" customWidth="1"/>
    <col min="4363" max="4364" width="11.42578125" style="202"/>
    <col min="4365" max="4365" width="13.42578125" style="202" customWidth="1"/>
    <col min="4366" max="4366" width="11.5703125" style="202" bestFit="1" customWidth="1"/>
    <col min="4367" max="4609" width="11.42578125" style="202"/>
    <col min="4610" max="4610" width="19.5703125" style="202" customWidth="1"/>
    <col min="4611" max="4611" width="11.5703125" style="202" customWidth="1"/>
    <col min="4612" max="4616" width="11.42578125" style="202" customWidth="1"/>
    <col min="4617" max="4617" width="11.5703125" style="202" customWidth="1"/>
    <col min="4618" max="4618" width="11.42578125" style="202" customWidth="1"/>
    <col min="4619" max="4620" width="11.42578125" style="202"/>
    <col min="4621" max="4621" width="13.42578125" style="202" customWidth="1"/>
    <col min="4622" max="4622" width="11.5703125" style="202" bestFit="1" customWidth="1"/>
    <col min="4623" max="4865" width="11.42578125" style="202"/>
    <col min="4866" max="4866" width="19.5703125" style="202" customWidth="1"/>
    <col min="4867" max="4867" width="11.5703125" style="202" customWidth="1"/>
    <col min="4868" max="4872" width="11.42578125" style="202" customWidth="1"/>
    <col min="4873" max="4873" width="11.5703125" style="202" customWidth="1"/>
    <col min="4874" max="4874" width="11.42578125" style="202" customWidth="1"/>
    <col min="4875" max="4876" width="11.42578125" style="202"/>
    <col min="4877" max="4877" width="13.42578125" style="202" customWidth="1"/>
    <col min="4878" max="4878" width="11.5703125" style="202" bestFit="1" customWidth="1"/>
    <col min="4879" max="5121" width="11.42578125" style="202"/>
    <col min="5122" max="5122" width="19.5703125" style="202" customWidth="1"/>
    <col min="5123" max="5123" width="11.5703125" style="202" customWidth="1"/>
    <col min="5124" max="5128" width="11.42578125" style="202" customWidth="1"/>
    <col min="5129" max="5129" width="11.5703125" style="202" customWidth="1"/>
    <col min="5130" max="5130" width="11.42578125" style="202" customWidth="1"/>
    <col min="5131" max="5132" width="11.42578125" style="202"/>
    <col min="5133" max="5133" width="13.42578125" style="202" customWidth="1"/>
    <col min="5134" max="5134" width="11.5703125" style="202" bestFit="1" customWidth="1"/>
    <col min="5135" max="5377" width="11.42578125" style="202"/>
    <col min="5378" max="5378" width="19.5703125" style="202" customWidth="1"/>
    <col min="5379" max="5379" width="11.5703125" style="202" customWidth="1"/>
    <col min="5380" max="5384" width="11.42578125" style="202" customWidth="1"/>
    <col min="5385" max="5385" width="11.5703125" style="202" customWidth="1"/>
    <col min="5386" max="5386" width="11.42578125" style="202" customWidth="1"/>
    <col min="5387" max="5388" width="11.42578125" style="202"/>
    <col min="5389" max="5389" width="13.42578125" style="202" customWidth="1"/>
    <col min="5390" max="5390" width="11.5703125" style="202" bestFit="1" customWidth="1"/>
    <col min="5391" max="5633" width="11.42578125" style="202"/>
    <col min="5634" max="5634" width="19.5703125" style="202" customWidth="1"/>
    <col min="5635" max="5635" width="11.5703125" style="202" customWidth="1"/>
    <col min="5636" max="5640" width="11.42578125" style="202" customWidth="1"/>
    <col min="5641" max="5641" width="11.5703125" style="202" customWidth="1"/>
    <col min="5642" max="5642" width="11.42578125" style="202" customWidth="1"/>
    <col min="5643" max="5644" width="11.42578125" style="202"/>
    <col min="5645" max="5645" width="13.42578125" style="202" customWidth="1"/>
    <col min="5646" max="5646" width="11.5703125" style="202" bestFit="1" customWidth="1"/>
    <col min="5647" max="5889" width="11.42578125" style="202"/>
    <col min="5890" max="5890" width="19.5703125" style="202" customWidth="1"/>
    <col min="5891" max="5891" width="11.5703125" style="202" customWidth="1"/>
    <col min="5892" max="5896" width="11.42578125" style="202" customWidth="1"/>
    <col min="5897" max="5897" width="11.5703125" style="202" customWidth="1"/>
    <col min="5898" max="5898" width="11.42578125" style="202" customWidth="1"/>
    <col min="5899" max="5900" width="11.42578125" style="202"/>
    <col min="5901" max="5901" width="13.42578125" style="202" customWidth="1"/>
    <col min="5902" max="5902" width="11.5703125" style="202" bestFit="1" customWidth="1"/>
    <col min="5903" max="6145" width="11.42578125" style="202"/>
    <col min="6146" max="6146" width="19.5703125" style="202" customWidth="1"/>
    <col min="6147" max="6147" width="11.5703125" style="202" customWidth="1"/>
    <col min="6148" max="6152" width="11.42578125" style="202" customWidth="1"/>
    <col min="6153" max="6153" width="11.5703125" style="202" customWidth="1"/>
    <col min="6154" max="6154" width="11.42578125" style="202" customWidth="1"/>
    <col min="6155" max="6156" width="11.42578125" style="202"/>
    <col min="6157" max="6157" width="13.42578125" style="202" customWidth="1"/>
    <col min="6158" max="6158" width="11.5703125" style="202" bestFit="1" customWidth="1"/>
    <col min="6159" max="6401" width="11.42578125" style="202"/>
    <col min="6402" max="6402" width="19.5703125" style="202" customWidth="1"/>
    <col min="6403" max="6403" width="11.5703125" style="202" customWidth="1"/>
    <col min="6404" max="6408" width="11.42578125" style="202" customWidth="1"/>
    <col min="6409" max="6409" width="11.5703125" style="202" customWidth="1"/>
    <col min="6410" max="6410" width="11.42578125" style="202" customWidth="1"/>
    <col min="6411" max="6412" width="11.42578125" style="202"/>
    <col min="6413" max="6413" width="13.42578125" style="202" customWidth="1"/>
    <col min="6414" max="6414" width="11.5703125" style="202" bestFit="1" customWidth="1"/>
    <col min="6415" max="6657" width="11.42578125" style="202"/>
    <col min="6658" max="6658" width="19.5703125" style="202" customWidth="1"/>
    <col min="6659" max="6659" width="11.5703125" style="202" customWidth="1"/>
    <col min="6660" max="6664" width="11.42578125" style="202" customWidth="1"/>
    <col min="6665" max="6665" width="11.5703125" style="202" customWidth="1"/>
    <col min="6666" max="6666" width="11.42578125" style="202" customWidth="1"/>
    <col min="6667" max="6668" width="11.42578125" style="202"/>
    <col min="6669" max="6669" width="13.42578125" style="202" customWidth="1"/>
    <col min="6670" max="6670" width="11.5703125" style="202" bestFit="1" customWidth="1"/>
    <col min="6671" max="6913" width="11.42578125" style="202"/>
    <col min="6914" max="6914" width="19.5703125" style="202" customWidth="1"/>
    <col min="6915" max="6915" width="11.5703125" style="202" customWidth="1"/>
    <col min="6916" max="6920" width="11.42578125" style="202" customWidth="1"/>
    <col min="6921" max="6921" width="11.5703125" style="202" customWidth="1"/>
    <col min="6922" max="6922" width="11.42578125" style="202" customWidth="1"/>
    <col min="6923" max="6924" width="11.42578125" style="202"/>
    <col min="6925" max="6925" width="13.42578125" style="202" customWidth="1"/>
    <col min="6926" max="6926" width="11.5703125" style="202" bestFit="1" customWidth="1"/>
    <col min="6927" max="7169" width="11.42578125" style="202"/>
    <col min="7170" max="7170" width="19.5703125" style="202" customWidth="1"/>
    <col min="7171" max="7171" width="11.5703125" style="202" customWidth="1"/>
    <col min="7172" max="7176" width="11.42578125" style="202" customWidth="1"/>
    <col min="7177" max="7177" width="11.5703125" style="202" customWidth="1"/>
    <col min="7178" max="7178" width="11.42578125" style="202" customWidth="1"/>
    <col min="7179" max="7180" width="11.42578125" style="202"/>
    <col min="7181" max="7181" width="13.42578125" style="202" customWidth="1"/>
    <col min="7182" max="7182" width="11.5703125" style="202" bestFit="1" customWidth="1"/>
    <col min="7183" max="7425" width="11.42578125" style="202"/>
    <col min="7426" max="7426" width="19.5703125" style="202" customWidth="1"/>
    <col min="7427" max="7427" width="11.5703125" style="202" customWidth="1"/>
    <col min="7428" max="7432" width="11.42578125" style="202" customWidth="1"/>
    <col min="7433" max="7433" width="11.5703125" style="202" customWidth="1"/>
    <col min="7434" max="7434" width="11.42578125" style="202" customWidth="1"/>
    <col min="7435" max="7436" width="11.42578125" style="202"/>
    <col min="7437" max="7437" width="13.42578125" style="202" customWidth="1"/>
    <col min="7438" max="7438" width="11.5703125" style="202" bestFit="1" customWidth="1"/>
    <col min="7439" max="7681" width="11.42578125" style="202"/>
    <col min="7682" max="7682" width="19.5703125" style="202" customWidth="1"/>
    <col min="7683" max="7683" width="11.5703125" style="202" customWidth="1"/>
    <col min="7684" max="7688" width="11.42578125" style="202" customWidth="1"/>
    <col min="7689" max="7689" width="11.5703125" style="202" customWidth="1"/>
    <col min="7690" max="7690" width="11.42578125" style="202" customWidth="1"/>
    <col min="7691" max="7692" width="11.42578125" style="202"/>
    <col min="7693" max="7693" width="13.42578125" style="202" customWidth="1"/>
    <col min="7694" max="7694" width="11.5703125" style="202" bestFit="1" customWidth="1"/>
    <col min="7695" max="7937" width="11.42578125" style="202"/>
    <col min="7938" max="7938" width="19.5703125" style="202" customWidth="1"/>
    <col min="7939" max="7939" width="11.5703125" style="202" customWidth="1"/>
    <col min="7940" max="7944" width="11.42578125" style="202" customWidth="1"/>
    <col min="7945" max="7945" width="11.5703125" style="202" customWidth="1"/>
    <col min="7946" max="7946" width="11.42578125" style="202" customWidth="1"/>
    <col min="7947" max="7948" width="11.42578125" style="202"/>
    <col min="7949" max="7949" width="13.42578125" style="202" customWidth="1"/>
    <col min="7950" max="7950" width="11.5703125" style="202" bestFit="1" customWidth="1"/>
    <col min="7951" max="8193" width="11.42578125" style="202"/>
    <col min="8194" max="8194" width="19.5703125" style="202" customWidth="1"/>
    <col min="8195" max="8195" width="11.5703125" style="202" customWidth="1"/>
    <col min="8196" max="8200" width="11.42578125" style="202" customWidth="1"/>
    <col min="8201" max="8201" width="11.5703125" style="202" customWidth="1"/>
    <col min="8202" max="8202" width="11.42578125" style="202" customWidth="1"/>
    <col min="8203" max="8204" width="11.42578125" style="202"/>
    <col min="8205" max="8205" width="13.42578125" style="202" customWidth="1"/>
    <col min="8206" max="8206" width="11.5703125" style="202" bestFit="1" customWidth="1"/>
    <col min="8207" max="8449" width="11.42578125" style="202"/>
    <col min="8450" max="8450" width="19.5703125" style="202" customWidth="1"/>
    <col min="8451" max="8451" width="11.5703125" style="202" customWidth="1"/>
    <col min="8452" max="8456" width="11.42578125" style="202" customWidth="1"/>
    <col min="8457" max="8457" width="11.5703125" style="202" customWidth="1"/>
    <col min="8458" max="8458" width="11.42578125" style="202" customWidth="1"/>
    <col min="8459" max="8460" width="11.42578125" style="202"/>
    <col min="8461" max="8461" width="13.42578125" style="202" customWidth="1"/>
    <col min="8462" max="8462" width="11.5703125" style="202" bestFit="1" customWidth="1"/>
    <col min="8463" max="8705" width="11.42578125" style="202"/>
    <col min="8706" max="8706" width="19.5703125" style="202" customWidth="1"/>
    <col min="8707" max="8707" width="11.5703125" style="202" customWidth="1"/>
    <col min="8708" max="8712" width="11.42578125" style="202" customWidth="1"/>
    <col min="8713" max="8713" width="11.5703125" style="202" customWidth="1"/>
    <col min="8714" max="8714" width="11.42578125" style="202" customWidth="1"/>
    <col min="8715" max="8716" width="11.42578125" style="202"/>
    <col min="8717" max="8717" width="13.42578125" style="202" customWidth="1"/>
    <col min="8718" max="8718" width="11.5703125" style="202" bestFit="1" customWidth="1"/>
    <col min="8719" max="8961" width="11.42578125" style="202"/>
    <col min="8962" max="8962" width="19.5703125" style="202" customWidth="1"/>
    <col min="8963" max="8963" width="11.5703125" style="202" customWidth="1"/>
    <col min="8964" max="8968" width="11.42578125" style="202" customWidth="1"/>
    <col min="8969" max="8969" width="11.5703125" style="202" customWidth="1"/>
    <col min="8970" max="8970" width="11.42578125" style="202" customWidth="1"/>
    <col min="8971" max="8972" width="11.42578125" style="202"/>
    <col min="8973" max="8973" width="13.42578125" style="202" customWidth="1"/>
    <col min="8974" max="8974" width="11.5703125" style="202" bestFit="1" customWidth="1"/>
    <col min="8975" max="9217" width="11.42578125" style="202"/>
    <col min="9218" max="9218" width="19.5703125" style="202" customWidth="1"/>
    <col min="9219" max="9219" width="11.5703125" style="202" customWidth="1"/>
    <col min="9220" max="9224" width="11.42578125" style="202" customWidth="1"/>
    <col min="9225" max="9225" width="11.5703125" style="202" customWidth="1"/>
    <col min="9226" max="9226" width="11.42578125" style="202" customWidth="1"/>
    <col min="9227" max="9228" width="11.42578125" style="202"/>
    <col min="9229" max="9229" width="13.42578125" style="202" customWidth="1"/>
    <col min="9230" max="9230" width="11.5703125" style="202" bestFit="1" customWidth="1"/>
    <col min="9231" max="9473" width="11.42578125" style="202"/>
    <col min="9474" max="9474" width="19.5703125" style="202" customWidth="1"/>
    <col min="9475" max="9475" width="11.5703125" style="202" customWidth="1"/>
    <col min="9476" max="9480" width="11.42578125" style="202" customWidth="1"/>
    <col min="9481" max="9481" width="11.5703125" style="202" customWidth="1"/>
    <col min="9482" max="9482" width="11.42578125" style="202" customWidth="1"/>
    <col min="9483" max="9484" width="11.42578125" style="202"/>
    <col min="9485" max="9485" width="13.42578125" style="202" customWidth="1"/>
    <col min="9486" max="9486" width="11.5703125" style="202" bestFit="1" customWidth="1"/>
    <col min="9487" max="9729" width="11.42578125" style="202"/>
    <col min="9730" max="9730" width="19.5703125" style="202" customWidth="1"/>
    <col min="9731" max="9731" width="11.5703125" style="202" customWidth="1"/>
    <col min="9732" max="9736" width="11.42578125" style="202" customWidth="1"/>
    <col min="9737" max="9737" width="11.5703125" style="202" customWidth="1"/>
    <col min="9738" max="9738" width="11.42578125" style="202" customWidth="1"/>
    <col min="9739" max="9740" width="11.42578125" style="202"/>
    <col min="9741" max="9741" width="13.42578125" style="202" customWidth="1"/>
    <col min="9742" max="9742" width="11.5703125" style="202" bestFit="1" customWidth="1"/>
    <col min="9743" max="9985" width="11.42578125" style="202"/>
    <col min="9986" max="9986" width="19.5703125" style="202" customWidth="1"/>
    <col min="9987" max="9987" width="11.5703125" style="202" customWidth="1"/>
    <col min="9988" max="9992" width="11.42578125" style="202" customWidth="1"/>
    <col min="9993" max="9993" width="11.5703125" style="202" customWidth="1"/>
    <col min="9994" max="9994" width="11.42578125" style="202" customWidth="1"/>
    <col min="9995" max="9996" width="11.42578125" style="202"/>
    <col min="9997" max="9997" width="13.42578125" style="202" customWidth="1"/>
    <col min="9998" max="9998" width="11.5703125" style="202" bestFit="1" customWidth="1"/>
    <col min="9999" max="10241" width="11.42578125" style="202"/>
    <col min="10242" max="10242" width="19.5703125" style="202" customWidth="1"/>
    <col min="10243" max="10243" width="11.5703125" style="202" customWidth="1"/>
    <col min="10244" max="10248" width="11.42578125" style="202" customWidth="1"/>
    <col min="10249" max="10249" width="11.5703125" style="202" customWidth="1"/>
    <col min="10250" max="10250" width="11.42578125" style="202" customWidth="1"/>
    <col min="10251" max="10252" width="11.42578125" style="202"/>
    <col min="10253" max="10253" width="13.42578125" style="202" customWidth="1"/>
    <col min="10254" max="10254" width="11.5703125" style="202" bestFit="1" customWidth="1"/>
    <col min="10255" max="10497" width="11.42578125" style="202"/>
    <col min="10498" max="10498" width="19.5703125" style="202" customWidth="1"/>
    <col min="10499" max="10499" width="11.5703125" style="202" customWidth="1"/>
    <col min="10500" max="10504" width="11.42578125" style="202" customWidth="1"/>
    <col min="10505" max="10505" width="11.5703125" style="202" customWidth="1"/>
    <col min="10506" max="10506" width="11.42578125" style="202" customWidth="1"/>
    <col min="10507" max="10508" width="11.42578125" style="202"/>
    <col min="10509" max="10509" width="13.42578125" style="202" customWidth="1"/>
    <col min="10510" max="10510" width="11.5703125" style="202" bestFit="1" customWidth="1"/>
    <col min="10511" max="10753" width="11.42578125" style="202"/>
    <col min="10754" max="10754" width="19.5703125" style="202" customWidth="1"/>
    <col min="10755" max="10755" width="11.5703125" style="202" customWidth="1"/>
    <col min="10756" max="10760" width="11.42578125" style="202" customWidth="1"/>
    <col min="10761" max="10761" width="11.5703125" style="202" customWidth="1"/>
    <col min="10762" max="10762" width="11.42578125" style="202" customWidth="1"/>
    <col min="10763" max="10764" width="11.42578125" style="202"/>
    <col min="10765" max="10765" width="13.42578125" style="202" customWidth="1"/>
    <col min="10766" max="10766" width="11.5703125" style="202" bestFit="1" customWidth="1"/>
    <col min="10767" max="11009" width="11.42578125" style="202"/>
    <col min="11010" max="11010" width="19.5703125" style="202" customWidth="1"/>
    <col min="11011" max="11011" width="11.5703125" style="202" customWidth="1"/>
    <col min="11012" max="11016" width="11.42578125" style="202" customWidth="1"/>
    <col min="11017" max="11017" width="11.5703125" style="202" customWidth="1"/>
    <col min="11018" max="11018" width="11.42578125" style="202" customWidth="1"/>
    <col min="11019" max="11020" width="11.42578125" style="202"/>
    <col min="11021" max="11021" width="13.42578125" style="202" customWidth="1"/>
    <col min="11022" max="11022" width="11.5703125" style="202" bestFit="1" customWidth="1"/>
    <col min="11023" max="11265" width="11.42578125" style="202"/>
    <col min="11266" max="11266" width="19.5703125" style="202" customWidth="1"/>
    <col min="11267" max="11267" width="11.5703125" style="202" customWidth="1"/>
    <col min="11268" max="11272" width="11.42578125" style="202" customWidth="1"/>
    <col min="11273" max="11273" width="11.5703125" style="202" customWidth="1"/>
    <col min="11274" max="11274" width="11.42578125" style="202" customWidth="1"/>
    <col min="11275" max="11276" width="11.42578125" style="202"/>
    <col min="11277" max="11277" width="13.42578125" style="202" customWidth="1"/>
    <col min="11278" max="11278" width="11.5703125" style="202" bestFit="1" customWidth="1"/>
    <col min="11279" max="11521" width="11.42578125" style="202"/>
    <col min="11522" max="11522" width="19.5703125" style="202" customWidth="1"/>
    <col min="11523" max="11523" width="11.5703125" style="202" customWidth="1"/>
    <col min="11524" max="11528" width="11.42578125" style="202" customWidth="1"/>
    <col min="11529" max="11529" width="11.5703125" style="202" customWidth="1"/>
    <col min="11530" max="11530" width="11.42578125" style="202" customWidth="1"/>
    <col min="11531" max="11532" width="11.42578125" style="202"/>
    <col min="11533" max="11533" width="13.42578125" style="202" customWidth="1"/>
    <col min="11534" max="11534" width="11.5703125" style="202" bestFit="1" customWidth="1"/>
    <col min="11535" max="11777" width="11.42578125" style="202"/>
    <col min="11778" max="11778" width="19.5703125" style="202" customWidth="1"/>
    <col min="11779" max="11779" width="11.5703125" style="202" customWidth="1"/>
    <col min="11780" max="11784" width="11.42578125" style="202" customWidth="1"/>
    <col min="11785" max="11785" width="11.5703125" style="202" customWidth="1"/>
    <col min="11786" max="11786" width="11.42578125" style="202" customWidth="1"/>
    <col min="11787" max="11788" width="11.42578125" style="202"/>
    <col min="11789" max="11789" width="13.42578125" style="202" customWidth="1"/>
    <col min="11790" max="11790" width="11.5703125" style="202" bestFit="1" customWidth="1"/>
    <col min="11791" max="12033" width="11.42578125" style="202"/>
    <col min="12034" max="12034" width="19.5703125" style="202" customWidth="1"/>
    <col min="12035" max="12035" width="11.5703125" style="202" customWidth="1"/>
    <col min="12036" max="12040" width="11.42578125" style="202" customWidth="1"/>
    <col min="12041" max="12041" width="11.5703125" style="202" customWidth="1"/>
    <col min="12042" max="12042" width="11.42578125" style="202" customWidth="1"/>
    <col min="12043" max="12044" width="11.42578125" style="202"/>
    <col min="12045" max="12045" width="13.42578125" style="202" customWidth="1"/>
    <col min="12046" max="12046" width="11.5703125" style="202" bestFit="1" customWidth="1"/>
    <col min="12047" max="12289" width="11.42578125" style="202"/>
    <col min="12290" max="12290" width="19.5703125" style="202" customWidth="1"/>
    <col min="12291" max="12291" width="11.5703125" style="202" customWidth="1"/>
    <col min="12292" max="12296" width="11.42578125" style="202" customWidth="1"/>
    <col min="12297" max="12297" width="11.5703125" style="202" customWidth="1"/>
    <col min="12298" max="12298" width="11.42578125" style="202" customWidth="1"/>
    <col min="12299" max="12300" width="11.42578125" style="202"/>
    <col min="12301" max="12301" width="13.42578125" style="202" customWidth="1"/>
    <col min="12302" max="12302" width="11.5703125" style="202" bestFit="1" customWidth="1"/>
    <col min="12303" max="12545" width="11.42578125" style="202"/>
    <col min="12546" max="12546" width="19.5703125" style="202" customWidth="1"/>
    <col min="12547" max="12547" width="11.5703125" style="202" customWidth="1"/>
    <col min="12548" max="12552" width="11.42578125" style="202" customWidth="1"/>
    <col min="12553" max="12553" width="11.5703125" style="202" customWidth="1"/>
    <col min="12554" max="12554" width="11.42578125" style="202" customWidth="1"/>
    <col min="12555" max="12556" width="11.42578125" style="202"/>
    <col min="12557" max="12557" width="13.42578125" style="202" customWidth="1"/>
    <col min="12558" max="12558" width="11.5703125" style="202" bestFit="1" customWidth="1"/>
    <col min="12559" max="12801" width="11.42578125" style="202"/>
    <col min="12802" max="12802" width="19.5703125" style="202" customWidth="1"/>
    <col min="12803" max="12803" width="11.5703125" style="202" customWidth="1"/>
    <col min="12804" max="12808" width="11.42578125" style="202" customWidth="1"/>
    <col min="12809" max="12809" width="11.5703125" style="202" customWidth="1"/>
    <col min="12810" max="12810" width="11.42578125" style="202" customWidth="1"/>
    <col min="12811" max="12812" width="11.42578125" style="202"/>
    <col min="12813" max="12813" width="13.42578125" style="202" customWidth="1"/>
    <col min="12814" max="12814" width="11.5703125" style="202" bestFit="1" customWidth="1"/>
    <col min="12815" max="13057" width="11.42578125" style="202"/>
    <col min="13058" max="13058" width="19.5703125" style="202" customWidth="1"/>
    <col min="13059" max="13059" width="11.5703125" style="202" customWidth="1"/>
    <col min="13060" max="13064" width="11.42578125" style="202" customWidth="1"/>
    <col min="13065" max="13065" width="11.5703125" style="202" customWidth="1"/>
    <col min="13066" max="13066" width="11.42578125" style="202" customWidth="1"/>
    <col min="13067" max="13068" width="11.42578125" style="202"/>
    <col min="13069" max="13069" width="13.42578125" style="202" customWidth="1"/>
    <col min="13070" max="13070" width="11.5703125" style="202" bestFit="1" customWidth="1"/>
    <col min="13071" max="13313" width="11.42578125" style="202"/>
    <col min="13314" max="13314" width="19.5703125" style="202" customWidth="1"/>
    <col min="13315" max="13315" width="11.5703125" style="202" customWidth="1"/>
    <col min="13316" max="13320" width="11.42578125" style="202" customWidth="1"/>
    <col min="13321" max="13321" width="11.5703125" style="202" customWidth="1"/>
    <col min="13322" max="13322" width="11.42578125" style="202" customWidth="1"/>
    <col min="13323" max="13324" width="11.42578125" style="202"/>
    <col min="13325" max="13325" width="13.42578125" style="202" customWidth="1"/>
    <col min="13326" max="13326" width="11.5703125" style="202" bestFit="1" customWidth="1"/>
    <col min="13327" max="13569" width="11.42578125" style="202"/>
    <col min="13570" max="13570" width="19.5703125" style="202" customWidth="1"/>
    <col min="13571" max="13571" width="11.5703125" style="202" customWidth="1"/>
    <col min="13572" max="13576" width="11.42578125" style="202" customWidth="1"/>
    <col min="13577" max="13577" width="11.5703125" style="202" customWidth="1"/>
    <col min="13578" max="13578" width="11.42578125" style="202" customWidth="1"/>
    <col min="13579" max="13580" width="11.42578125" style="202"/>
    <col min="13581" max="13581" width="13.42578125" style="202" customWidth="1"/>
    <col min="13582" max="13582" width="11.5703125" style="202" bestFit="1" customWidth="1"/>
    <col min="13583" max="13825" width="11.42578125" style="202"/>
    <col min="13826" max="13826" width="19.5703125" style="202" customWidth="1"/>
    <col min="13827" max="13827" width="11.5703125" style="202" customWidth="1"/>
    <col min="13828" max="13832" width="11.42578125" style="202" customWidth="1"/>
    <col min="13833" max="13833" width="11.5703125" style="202" customWidth="1"/>
    <col min="13834" max="13834" width="11.42578125" style="202" customWidth="1"/>
    <col min="13835" max="13836" width="11.42578125" style="202"/>
    <col min="13837" max="13837" width="13.42578125" style="202" customWidth="1"/>
    <col min="13838" max="13838" width="11.5703125" style="202" bestFit="1" customWidth="1"/>
    <col min="13839" max="14081" width="11.42578125" style="202"/>
    <col min="14082" max="14082" width="19.5703125" style="202" customWidth="1"/>
    <col min="14083" max="14083" width="11.5703125" style="202" customWidth="1"/>
    <col min="14084" max="14088" width="11.42578125" style="202" customWidth="1"/>
    <col min="14089" max="14089" width="11.5703125" style="202" customWidth="1"/>
    <col min="14090" max="14090" width="11.42578125" style="202" customWidth="1"/>
    <col min="14091" max="14092" width="11.42578125" style="202"/>
    <col min="14093" max="14093" width="13.42578125" style="202" customWidth="1"/>
    <col min="14094" max="14094" width="11.5703125" style="202" bestFit="1" customWidth="1"/>
    <col min="14095" max="14337" width="11.42578125" style="202"/>
    <col min="14338" max="14338" width="19.5703125" style="202" customWidth="1"/>
    <col min="14339" max="14339" width="11.5703125" style="202" customWidth="1"/>
    <col min="14340" max="14344" width="11.42578125" style="202" customWidth="1"/>
    <col min="14345" max="14345" width="11.5703125" style="202" customWidth="1"/>
    <col min="14346" max="14346" width="11.42578125" style="202" customWidth="1"/>
    <col min="14347" max="14348" width="11.42578125" style="202"/>
    <col min="14349" max="14349" width="13.42578125" style="202" customWidth="1"/>
    <col min="14350" max="14350" width="11.5703125" style="202" bestFit="1" customWidth="1"/>
    <col min="14351" max="14593" width="11.42578125" style="202"/>
    <col min="14594" max="14594" width="19.5703125" style="202" customWidth="1"/>
    <col min="14595" max="14595" width="11.5703125" style="202" customWidth="1"/>
    <col min="14596" max="14600" width="11.42578125" style="202" customWidth="1"/>
    <col min="14601" max="14601" width="11.5703125" style="202" customWidth="1"/>
    <col min="14602" max="14602" width="11.42578125" style="202" customWidth="1"/>
    <col min="14603" max="14604" width="11.42578125" style="202"/>
    <col min="14605" max="14605" width="13.42578125" style="202" customWidth="1"/>
    <col min="14606" max="14606" width="11.5703125" style="202" bestFit="1" customWidth="1"/>
    <col min="14607" max="14849" width="11.42578125" style="202"/>
    <col min="14850" max="14850" width="19.5703125" style="202" customWidth="1"/>
    <col min="14851" max="14851" width="11.5703125" style="202" customWidth="1"/>
    <col min="14852" max="14856" width="11.42578125" style="202" customWidth="1"/>
    <col min="14857" max="14857" width="11.5703125" style="202" customWidth="1"/>
    <col min="14858" max="14858" width="11.42578125" style="202" customWidth="1"/>
    <col min="14859" max="14860" width="11.42578125" style="202"/>
    <col min="14861" max="14861" width="13.42578125" style="202" customWidth="1"/>
    <col min="14862" max="14862" width="11.5703125" style="202" bestFit="1" customWidth="1"/>
    <col min="14863" max="15105" width="11.42578125" style="202"/>
    <col min="15106" max="15106" width="19.5703125" style="202" customWidth="1"/>
    <col min="15107" max="15107" width="11.5703125" style="202" customWidth="1"/>
    <col min="15108" max="15112" width="11.42578125" style="202" customWidth="1"/>
    <col min="15113" max="15113" width="11.5703125" style="202" customWidth="1"/>
    <col min="15114" max="15114" width="11.42578125" style="202" customWidth="1"/>
    <col min="15115" max="15116" width="11.42578125" style="202"/>
    <col min="15117" max="15117" width="13.42578125" style="202" customWidth="1"/>
    <col min="15118" max="15118" width="11.5703125" style="202" bestFit="1" customWidth="1"/>
    <col min="15119" max="15361" width="11.42578125" style="202"/>
    <col min="15362" max="15362" width="19.5703125" style="202" customWidth="1"/>
    <col min="15363" max="15363" width="11.5703125" style="202" customWidth="1"/>
    <col min="15364" max="15368" width="11.42578125" style="202" customWidth="1"/>
    <col min="15369" max="15369" width="11.5703125" style="202" customWidth="1"/>
    <col min="15370" max="15370" width="11.42578125" style="202" customWidth="1"/>
    <col min="15371" max="15372" width="11.42578125" style="202"/>
    <col min="15373" max="15373" width="13.42578125" style="202" customWidth="1"/>
    <col min="15374" max="15374" width="11.5703125" style="202" bestFit="1" customWidth="1"/>
    <col min="15375" max="15617" width="11.42578125" style="202"/>
    <col min="15618" max="15618" width="19.5703125" style="202" customWidth="1"/>
    <col min="15619" max="15619" width="11.5703125" style="202" customWidth="1"/>
    <col min="15620" max="15624" width="11.42578125" style="202" customWidth="1"/>
    <col min="15625" max="15625" width="11.5703125" style="202" customWidth="1"/>
    <col min="15626" max="15626" width="11.42578125" style="202" customWidth="1"/>
    <col min="15627" max="15628" width="11.42578125" style="202"/>
    <col min="15629" max="15629" width="13.42578125" style="202" customWidth="1"/>
    <col min="15630" max="15630" width="11.5703125" style="202" bestFit="1" customWidth="1"/>
    <col min="15631" max="15873" width="11.42578125" style="202"/>
    <col min="15874" max="15874" width="19.5703125" style="202" customWidth="1"/>
    <col min="15875" max="15875" width="11.5703125" style="202" customWidth="1"/>
    <col min="15876" max="15880" width="11.42578125" style="202" customWidth="1"/>
    <col min="15881" max="15881" width="11.5703125" style="202" customWidth="1"/>
    <col min="15882" max="15882" width="11.42578125" style="202" customWidth="1"/>
    <col min="15883" max="15884" width="11.42578125" style="202"/>
    <col min="15885" max="15885" width="13.42578125" style="202" customWidth="1"/>
    <col min="15886" max="15886" width="11.5703125" style="202" bestFit="1" customWidth="1"/>
    <col min="15887" max="16129" width="11.42578125" style="202"/>
    <col min="16130" max="16130" width="19.5703125" style="202" customWidth="1"/>
    <col min="16131" max="16131" width="11.5703125" style="202" customWidth="1"/>
    <col min="16132" max="16136" width="11.42578125" style="202" customWidth="1"/>
    <col min="16137" max="16137" width="11.5703125" style="202" customWidth="1"/>
    <col min="16138" max="16138" width="11.42578125" style="202" customWidth="1"/>
    <col min="16139" max="16140" width="11.42578125" style="202"/>
    <col min="16141" max="16141" width="13.42578125" style="202" customWidth="1"/>
    <col min="16142" max="16142" width="11.5703125" style="202" bestFit="1" customWidth="1"/>
    <col min="16143" max="16384" width="11.42578125" style="202"/>
  </cols>
  <sheetData>
    <row r="1" spans="2:19" x14ac:dyDescent="0.25">
      <c r="L1" s="335" t="s">
        <v>457</v>
      </c>
    </row>
    <row r="2" spans="2:19" ht="15.75" thickBot="1" x14ac:dyDescent="0.3">
      <c r="B2" s="202" t="s">
        <v>458</v>
      </c>
      <c r="L2" s="202" t="s">
        <v>458</v>
      </c>
    </row>
    <row r="3" spans="2:19" x14ac:dyDescent="0.25">
      <c r="B3" s="203"/>
      <c r="C3" s="204" t="s">
        <v>459</v>
      </c>
      <c r="D3" s="204"/>
      <c r="E3" s="204"/>
      <c r="F3" s="204"/>
      <c r="G3" s="204"/>
      <c r="H3" s="204"/>
      <c r="I3" s="205"/>
      <c r="L3" s="203"/>
      <c r="M3" s="204" t="s">
        <v>460</v>
      </c>
      <c r="N3" s="204"/>
      <c r="O3" s="204"/>
      <c r="P3" s="204"/>
      <c r="Q3" s="204"/>
      <c r="R3" s="204"/>
      <c r="S3" s="205"/>
    </row>
    <row r="4" spans="2:19" x14ac:dyDescent="0.25">
      <c r="B4" s="206" t="s">
        <v>461</v>
      </c>
      <c r="C4" s="338" t="s">
        <v>461</v>
      </c>
      <c r="D4" s="338" t="s">
        <v>462</v>
      </c>
      <c r="E4" s="338" t="s">
        <v>463</v>
      </c>
      <c r="F4" s="338" t="s">
        <v>464</v>
      </c>
      <c r="G4" s="338" t="s">
        <v>465</v>
      </c>
      <c r="H4" s="207" t="s">
        <v>466</v>
      </c>
      <c r="I4" s="228" t="s">
        <v>467</v>
      </c>
      <c r="L4" s="206" t="s">
        <v>461</v>
      </c>
      <c r="M4" s="338" t="s">
        <v>461</v>
      </c>
      <c r="N4" s="338" t="s">
        <v>462</v>
      </c>
      <c r="O4" s="338" t="s">
        <v>463</v>
      </c>
      <c r="P4" s="338" t="s">
        <v>464</v>
      </c>
      <c r="Q4" s="338" t="s">
        <v>465</v>
      </c>
      <c r="R4" s="207" t="s">
        <v>466</v>
      </c>
      <c r="S4" s="228" t="s">
        <v>467</v>
      </c>
    </row>
    <row r="5" spans="2:19" x14ac:dyDescent="0.25">
      <c r="B5" s="211" t="s">
        <v>468</v>
      </c>
      <c r="C5" s="207">
        <v>375</v>
      </c>
      <c r="D5" s="338" t="s">
        <v>469</v>
      </c>
      <c r="E5" s="207">
        <v>100</v>
      </c>
      <c r="F5" s="207">
        <v>100</v>
      </c>
      <c r="G5" s="207">
        <v>100</v>
      </c>
      <c r="H5" s="207">
        <v>75</v>
      </c>
      <c r="I5" s="228"/>
      <c r="L5" s="211" t="s">
        <v>468</v>
      </c>
      <c r="M5" s="207">
        <v>330</v>
      </c>
      <c r="N5" s="338" t="s">
        <v>469</v>
      </c>
      <c r="O5" s="207">
        <v>90</v>
      </c>
      <c r="P5" s="207">
        <v>90</v>
      </c>
      <c r="Q5" s="207">
        <v>90</v>
      </c>
      <c r="R5" s="207">
        <v>60</v>
      </c>
      <c r="S5" s="228"/>
    </row>
    <row r="6" spans="2:19" x14ac:dyDescent="0.25">
      <c r="B6" s="211" t="s">
        <v>470</v>
      </c>
      <c r="C6" s="207">
        <v>375</v>
      </c>
      <c r="D6" s="338" t="s">
        <v>469</v>
      </c>
      <c r="E6" s="207">
        <v>100</v>
      </c>
      <c r="F6" s="207">
        <v>100</v>
      </c>
      <c r="G6" s="207">
        <v>100</v>
      </c>
      <c r="H6" s="207">
        <v>75</v>
      </c>
      <c r="I6" s="228"/>
      <c r="L6" s="211" t="s">
        <v>470</v>
      </c>
      <c r="M6" s="207">
        <v>330</v>
      </c>
      <c r="N6" s="338" t="s">
        <v>469</v>
      </c>
      <c r="O6" s="207">
        <v>90</v>
      </c>
      <c r="P6" s="207">
        <v>90</v>
      </c>
      <c r="Q6" s="207">
        <v>90</v>
      </c>
      <c r="R6" s="207">
        <v>60</v>
      </c>
      <c r="S6" s="228"/>
    </row>
    <row r="7" spans="2:19" x14ac:dyDescent="0.25">
      <c r="B7" s="211" t="s">
        <v>471</v>
      </c>
      <c r="C7" s="207">
        <v>375</v>
      </c>
      <c r="D7" s="338" t="s">
        <v>469</v>
      </c>
      <c r="E7" s="207">
        <v>100</v>
      </c>
      <c r="F7" s="207">
        <v>100</v>
      </c>
      <c r="G7" s="207">
        <v>100</v>
      </c>
      <c r="H7" s="207">
        <v>75</v>
      </c>
      <c r="I7" s="228"/>
      <c r="L7" s="211" t="s">
        <v>471</v>
      </c>
      <c r="M7" s="207">
        <v>330</v>
      </c>
      <c r="N7" s="338" t="s">
        <v>469</v>
      </c>
      <c r="O7" s="207">
        <v>90</v>
      </c>
      <c r="P7" s="207">
        <v>90</v>
      </c>
      <c r="Q7" s="207">
        <v>90</v>
      </c>
      <c r="R7" s="207">
        <v>60</v>
      </c>
      <c r="S7" s="228"/>
    </row>
    <row r="8" spans="2:19" x14ac:dyDescent="0.25">
      <c r="B8" s="211" t="s">
        <v>472</v>
      </c>
      <c r="C8" s="207">
        <v>375</v>
      </c>
      <c r="D8" s="338" t="s">
        <v>469</v>
      </c>
      <c r="E8" s="207">
        <v>100</v>
      </c>
      <c r="F8" s="207">
        <v>100</v>
      </c>
      <c r="G8" s="207">
        <v>100</v>
      </c>
      <c r="H8" s="207">
        <v>75</v>
      </c>
      <c r="I8" s="228"/>
      <c r="L8" s="211" t="s">
        <v>472</v>
      </c>
      <c r="M8" s="207">
        <v>330</v>
      </c>
      <c r="N8" s="338" t="s">
        <v>469</v>
      </c>
      <c r="O8" s="207">
        <v>90</v>
      </c>
      <c r="P8" s="207">
        <v>90</v>
      </c>
      <c r="Q8" s="207">
        <v>90</v>
      </c>
      <c r="R8" s="207">
        <v>60</v>
      </c>
      <c r="S8" s="228"/>
    </row>
    <row r="9" spans="2:19" x14ac:dyDescent="0.25">
      <c r="B9" s="211" t="s">
        <v>473</v>
      </c>
      <c r="C9" s="207">
        <f>375+250</f>
        <v>625</v>
      </c>
      <c r="D9" s="338" t="s">
        <v>474</v>
      </c>
      <c r="E9" s="207"/>
      <c r="F9" s="207"/>
      <c r="G9" s="207"/>
      <c r="H9" s="207"/>
      <c r="I9" s="228">
        <v>625</v>
      </c>
      <c r="L9" s="211" t="s">
        <v>473</v>
      </c>
      <c r="M9" s="207">
        <f>330+220</f>
        <v>550</v>
      </c>
      <c r="N9" s="338" t="s">
        <v>474</v>
      </c>
      <c r="O9" s="207"/>
      <c r="P9" s="207"/>
      <c r="Q9" s="207"/>
      <c r="R9" s="207"/>
      <c r="S9" s="228">
        <v>550</v>
      </c>
    </row>
    <row r="10" spans="2:19" x14ac:dyDescent="0.25">
      <c r="B10" s="211" t="s">
        <v>475</v>
      </c>
      <c r="C10" s="207">
        <f>375+250</f>
        <v>625</v>
      </c>
      <c r="D10" s="338" t="s">
        <v>476</v>
      </c>
      <c r="E10" s="207"/>
      <c r="F10" s="207"/>
      <c r="G10" s="207"/>
      <c r="H10" s="207"/>
      <c r="I10" s="228">
        <v>625</v>
      </c>
      <c r="L10" s="211" t="s">
        <v>475</v>
      </c>
      <c r="M10" s="207">
        <f>330+220</f>
        <v>550</v>
      </c>
      <c r="N10" s="338" t="s">
        <v>476</v>
      </c>
      <c r="O10" s="207"/>
      <c r="P10" s="207"/>
      <c r="Q10" s="207"/>
      <c r="R10" s="207"/>
      <c r="S10" s="228">
        <v>550</v>
      </c>
    </row>
    <row r="11" spans="2:19" ht="15.75" thickBot="1" x14ac:dyDescent="0.3">
      <c r="B11" s="221" t="s">
        <v>477</v>
      </c>
      <c r="C11" s="222">
        <f>375+250</f>
        <v>625</v>
      </c>
      <c r="D11" s="519" t="s">
        <v>476</v>
      </c>
      <c r="E11" s="222"/>
      <c r="F11" s="222"/>
      <c r="G11" s="222"/>
      <c r="H11" s="222"/>
      <c r="I11" s="337">
        <v>625</v>
      </c>
      <c r="L11" s="221" t="s">
        <v>477</v>
      </c>
      <c r="M11" s="222">
        <f>330+220</f>
        <v>550</v>
      </c>
      <c r="N11" s="519" t="s">
        <v>476</v>
      </c>
      <c r="O11" s="222"/>
      <c r="P11" s="222"/>
      <c r="Q11" s="222"/>
      <c r="R11" s="222"/>
      <c r="S11" s="337">
        <v>550</v>
      </c>
    </row>
    <row r="12" spans="2:19" ht="15.75" thickBot="1" x14ac:dyDescent="0.3"/>
    <row r="13" spans="2:19" ht="15.75" thickBot="1" x14ac:dyDescent="0.3">
      <c r="B13" s="257" t="s">
        <v>458</v>
      </c>
      <c r="C13" s="258"/>
      <c r="D13" s="258"/>
      <c r="E13" s="258"/>
      <c r="F13" s="258"/>
      <c r="G13" s="258"/>
      <c r="H13" s="401"/>
      <c r="L13" s="203" t="s">
        <v>458</v>
      </c>
      <c r="M13" s="204"/>
      <c r="N13" s="204"/>
      <c r="O13" s="204"/>
      <c r="P13" s="204"/>
      <c r="Q13" s="204"/>
      <c r="R13" s="204"/>
      <c r="S13" s="205"/>
    </row>
    <row r="14" spans="2:19" x14ac:dyDescent="0.25">
      <c r="B14" s="203"/>
      <c r="C14" s="204" t="s">
        <v>478</v>
      </c>
      <c r="D14" s="204"/>
      <c r="E14" s="204"/>
      <c r="F14" s="204"/>
      <c r="G14" s="204"/>
      <c r="H14" s="205"/>
      <c r="L14" s="203"/>
      <c r="M14" s="204" t="s">
        <v>479</v>
      </c>
      <c r="N14" s="204"/>
      <c r="O14" s="204"/>
      <c r="P14" s="204"/>
      <c r="Q14" s="204"/>
      <c r="R14" s="204"/>
      <c r="S14" s="205"/>
    </row>
    <row r="15" spans="2:19" x14ac:dyDescent="0.25">
      <c r="B15" s="206" t="s">
        <v>461</v>
      </c>
      <c r="C15" s="338" t="s">
        <v>385</v>
      </c>
      <c r="D15" s="338" t="s">
        <v>462</v>
      </c>
      <c r="E15" s="338" t="s">
        <v>463</v>
      </c>
      <c r="F15" s="338" t="s">
        <v>464</v>
      </c>
      <c r="G15" s="338" t="s">
        <v>465</v>
      </c>
      <c r="H15" s="228" t="s">
        <v>467</v>
      </c>
      <c r="L15" s="206" t="s">
        <v>461</v>
      </c>
      <c r="M15" s="338" t="s">
        <v>385</v>
      </c>
      <c r="N15" s="338" t="s">
        <v>462</v>
      </c>
      <c r="O15" s="338"/>
      <c r="P15" s="338" t="s">
        <v>463</v>
      </c>
      <c r="Q15" s="338" t="s">
        <v>464</v>
      </c>
      <c r="R15" s="338" t="s">
        <v>465</v>
      </c>
      <c r="S15" s="228" t="s">
        <v>467</v>
      </c>
    </row>
    <row r="16" spans="2:19" x14ac:dyDescent="0.25">
      <c r="B16" s="211" t="s">
        <v>468</v>
      </c>
      <c r="C16" s="216">
        <f t="shared" ref="C16:C22" si="0">SUM(E16:H16)</f>
        <v>1320000</v>
      </c>
      <c r="D16" s="338" t="s">
        <v>469</v>
      </c>
      <c r="E16" s="216">
        <f>+E5*4400</f>
        <v>440000</v>
      </c>
      <c r="F16" s="216">
        <f>+F5*4400</f>
        <v>440000</v>
      </c>
      <c r="G16" s="216">
        <f>+G5*4400</f>
        <v>440000</v>
      </c>
      <c r="H16" s="228"/>
      <c r="L16" s="211" t="s">
        <v>468</v>
      </c>
      <c r="M16" s="216">
        <f t="shared" ref="M16:M22" si="1">SUM(P16:S16)</f>
        <v>1188000</v>
      </c>
      <c r="N16" s="338" t="s">
        <v>469</v>
      </c>
      <c r="O16" s="338"/>
      <c r="P16" s="216">
        <f>+O5*4400</f>
        <v>396000</v>
      </c>
      <c r="Q16" s="216">
        <f>+P5*4400</f>
        <v>396000</v>
      </c>
      <c r="R16" s="216">
        <f>+Q5*4400</f>
        <v>396000</v>
      </c>
      <c r="S16" s="228"/>
    </row>
    <row r="17" spans="2:20" x14ac:dyDescent="0.25">
      <c r="B17" s="211" t="s">
        <v>470</v>
      </c>
      <c r="C17" s="216">
        <f t="shared" si="0"/>
        <v>1260000</v>
      </c>
      <c r="D17" s="338" t="s">
        <v>469</v>
      </c>
      <c r="E17" s="216">
        <f t="shared" ref="E17:G18" si="2">+E6*4200</f>
        <v>420000</v>
      </c>
      <c r="F17" s="216">
        <f t="shared" si="2"/>
        <v>420000</v>
      </c>
      <c r="G17" s="216">
        <f t="shared" si="2"/>
        <v>420000</v>
      </c>
      <c r="H17" s="228"/>
      <c r="L17" s="211" t="s">
        <v>470</v>
      </c>
      <c r="M17" s="216">
        <f t="shared" si="1"/>
        <v>1134000</v>
      </c>
      <c r="N17" s="338" t="s">
        <v>469</v>
      </c>
      <c r="O17" s="338"/>
      <c r="P17" s="216">
        <f t="shared" ref="P17:R18" si="3">+O6*4200</f>
        <v>378000</v>
      </c>
      <c r="Q17" s="216">
        <f t="shared" si="3"/>
        <v>378000</v>
      </c>
      <c r="R17" s="216">
        <f t="shared" si="3"/>
        <v>378000</v>
      </c>
      <c r="S17" s="228"/>
    </row>
    <row r="18" spans="2:20" x14ac:dyDescent="0.25">
      <c r="B18" s="211" t="s">
        <v>471</v>
      </c>
      <c r="C18" s="216">
        <f t="shared" si="0"/>
        <v>1260000</v>
      </c>
      <c r="D18" s="338" t="s">
        <v>469</v>
      </c>
      <c r="E18" s="216">
        <f t="shared" si="2"/>
        <v>420000</v>
      </c>
      <c r="F18" s="216">
        <f t="shared" si="2"/>
        <v>420000</v>
      </c>
      <c r="G18" s="216">
        <f t="shared" si="2"/>
        <v>420000</v>
      </c>
      <c r="H18" s="228"/>
      <c r="L18" s="211" t="s">
        <v>471</v>
      </c>
      <c r="M18" s="216">
        <f t="shared" si="1"/>
        <v>1134000</v>
      </c>
      <c r="N18" s="338" t="s">
        <v>469</v>
      </c>
      <c r="O18" s="338"/>
      <c r="P18" s="216">
        <f t="shared" si="3"/>
        <v>378000</v>
      </c>
      <c r="Q18" s="216">
        <f t="shared" si="3"/>
        <v>378000</v>
      </c>
      <c r="R18" s="216">
        <f t="shared" si="3"/>
        <v>378000</v>
      </c>
      <c r="S18" s="228"/>
    </row>
    <row r="19" spans="2:20" x14ac:dyDescent="0.25">
      <c r="B19" s="211" t="s">
        <v>472</v>
      </c>
      <c r="C19" s="216">
        <f t="shared" si="0"/>
        <v>1200000</v>
      </c>
      <c r="D19" s="338" t="s">
        <v>469</v>
      </c>
      <c r="E19" s="216">
        <f>+E8*4000</f>
        <v>400000</v>
      </c>
      <c r="F19" s="216">
        <f>+F8*4000</f>
        <v>400000</v>
      </c>
      <c r="G19" s="216">
        <f>+G8*4000</f>
        <v>400000</v>
      </c>
      <c r="H19" s="228"/>
      <c r="L19" s="211" t="s">
        <v>472</v>
      </c>
      <c r="M19" s="216">
        <f t="shared" si="1"/>
        <v>1080000</v>
      </c>
      <c r="N19" s="338" t="s">
        <v>469</v>
      </c>
      <c r="O19" s="338"/>
      <c r="P19" s="216">
        <f>+O8*4000</f>
        <v>360000</v>
      </c>
      <c r="Q19" s="216">
        <f>+P8*4000</f>
        <v>360000</v>
      </c>
      <c r="R19" s="216">
        <f>+Q8*4000</f>
        <v>360000</v>
      </c>
      <c r="S19" s="228"/>
    </row>
    <row r="20" spans="2:20" x14ac:dyDescent="0.25">
      <c r="B20" s="211" t="s">
        <v>473</v>
      </c>
      <c r="C20" s="216">
        <f t="shared" si="0"/>
        <v>1062500</v>
      </c>
      <c r="D20" s="338" t="s">
        <v>474</v>
      </c>
      <c r="E20" s="207"/>
      <c r="F20" s="207"/>
      <c r="G20" s="207"/>
      <c r="H20" s="217">
        <f>+I9*1700</f>
        <v>1062500</v>
      </c>
      <c r="L20" s="211" t="s">
        <v>473</v>
      </c>
      <c r="M20" s="216">
        <f t="shared" si="1"/>
        <v>935000</v>
      </c>
      <c r="N20" s="338" t="s">
        <v>474</v>
      </c>
      <c r="O20" s="338"/>
      <c r="P20" s="207"/>
      <c r="Q20" s="207"/>
      <c r="R20" s="207"/>
      <c r="S20" s="217">
        <f>+S9*1700</f>
        <v>935000</v>
      </c>
    </row>
    <row r="21" spans="2:20" x14ac:dyDescent="0.25">
      <c r="B21" s="211" t="s">
        <v>475</v>
      </c>
      <c r="C21" s="216">
        <f t="shared" si="0"/>
        <v>937500</v>
      </c>
      <c r="D21" s="338" t="s">
        <v>476</v>
      </c>
      <c r="E21" s="207"/>
      <c r="F21" s="207"/>
      <c r="G21" s="207"/>
      <c r="H21" s="217">
        <f>+I10*1500</f>
        <v>937500</v>
      </c>
      <c r="L21" s="211" t="s">
        <v>475</v>
      </c>
      <c r="M21" s="216">
        <f t="shared" si="1"/>
        <v>825000</v>
      </c>
      <c r="N21" s="338" t="s">
        <v>476</v>
      </c>
      <c r="O21" s="338"/>
      <c r="P21" s="207"/>
      <c r="Q21" s="207"/>
      <c r="R21" s="207"/>
      <c r="S21" s="217">
        <f>+S10*1500</f>
        <v>825000</v>
      </c>
    </row>
    <row r="22" spans="2:20" ht="15.75" thickBot="1" x14ac:dyDescent="0.3">
      <c r="B22" s="221" t="s">
        <v>477</v>
      </c>
      <c r="C22" s="216">
        <f t="shared" si="0"/>
        <v>937500</v>
      </c>
      <c r="D22" s="519" t="s">
        <v>476</v>
      </c>
      <c r="E22" s="222"/>
      <c r="F22" s="222"/>
      <c r="G22" s="222"/>
      <c r="H22" s="217">
        <f>+I11*1500</f>
        <v>937500</v>
      </c>
      <c r="L22" s="221" t="s">
        <v>477</v>
      </c>
      <c r="M22" s="216">
        <f t="shared" si="1"/>
        <v>825000</v>
      </c>
      <c r="N22" s="519" t="s">
        <v>476</v>
      </c>
      <c r="O22" s="519"/>
      <c r="P22" s="222"/>
      <c r="Q22" s="222"/>
      <c r="R22" s="222"/>
      <c r="S22" s="217">
        <f>+S11*1500</f>
        <v>825000</v>
      </c>
    </row>
    <row r="23" spans="2:20" ht="15.75" thickBot="1" x14ac:dyDescent="0.3">
      <c r="B23" s="257" t="s">
        <v>385</v>
      </c>
      <c r="C23" s="259">
        <f>SUM(C16:C22)</f>
        <v>7977500</v>
      </c>
      <c r="D23" s="258"/>
      <c r="E23" s="259">
        <f>SUM(E16:E22)</f>
        <v>1680000</v>
      </c>
      <c r="F23" s="259">
        <f>SUM(F16:F22)</f>
        <v>1680000</v>
      </c>
      <c r="G23" s="259">
        <f>SUM(G16:G22)</f>
        <v>1680000</v>
      </c>
      <c r="H23" s="260">
        <f>SUM(H16:H22)</f>
        <v>2937500</v>
      </c>
      <c r="L23" s="257" t="s">
        <v>385</v>
      </c>
      <c r="M23" s="259">
        <f>SUM(M16:M22)</f>
        <v>7121000</v>
      </c>
      <c r="N23" s="258"/>
      <c r="O23" s="258"/>
      <c r="P23" s="259">
        <f>SUM(P16:P22)</f>
        <v>1512000</v>
      </c>
      <c r="Q23" s="259">
        <f>SUM(Q16:Q22)</f>
        <v>1512000</v>
      </c>
      <c r="R23" s="259">
        <f>SUM(R16:R22)</f>
        <v>1512000</v>
      </c>
      <c r="S23" s="260">
        <f>SUM(S16:S22)</f>
        <v>2585000</v>
      </c>
      <c r="T23" s="368"/>
    </row>
    <row r="24" spans="2:20" ht="15.75" thickBot="1" x14ac:dyDescent="0.3">
      <c r="M24" s="368"/>
    </row>
    <row r="25" spans="2:20" ht="15.75" thickBot="1" x14ac:dyDescent="0.3">
      <c r="B25" s="203" t="s">
        <v>458</v>
      </c>
      <c r="C25" s="204"/>
      <c r="D25" s="204"/>
      <c r="E25" s="204"/>
      <c r="F25" s="204"/>
      <c r="G25" s="204"/>
      <c r="H25" s="204"/>
      <c r="I25" s="205"/>
      <c r="L25" s="203" t="s">
        <v>458</v>
      </c>
      <c r="M25" s="204"/>
      <c r="N25" s="204"/>
      <c r="O25" s="204"/>
      <c r="P25" s="204"/>
      <c r="Q25" s="204"/>
      <c r="R25" s="204"/>
      <c r="S25" s="205"/>
    </row>
    <row r="26" spans="2:20" x14ac:dyDescent="0.25">
      <c r="B26" s="203"/>
      <c r="C26" s="204" t="s">
        <v>480</v>
      </c>
      <c r="D26" s="204"/>
      <c r="E26" s="204"/>
      <c r="F26" s="204"/>
      <c r="G26" s="204"/>
      <c r="H26" s="204"/>
      <c r="I26" s="205"/>
      <c r="L26" s="203"/>
      <c r="M26" s="204" t="s">
        <v>481</v>
      </c>
      <c r="N26" s="204"/>
      <c r="O26" s="204"/>
      <c r="P26" s="204"/>
      <c r="Q26" s="204"/>
      <c r="R26" s="204"/>
      <c r="S26" s="205"/>
    </row>
    <row r="27" spans="2:20" x14ac:dyDescent="0.25">
      <c r="B27" s="206" t="s">
        <v>461</v>
      </c>
      <c r="C27" s="338" t="s">
        <v>385</v>
      </c>
      <c r="D27" s="338" t="s">
        <v>462</v>
      </c>
      <c r="E27" s="207" t="s">
        <v>482</v>
      </c>
      <c r="F27" s="338" t="s">
        <v>463</v>
      </c>
      <c r="G27" s="338" t="s">
        <v>464</v>
      </c>
      <c r="H27" s="338" t="s">
        <v>465</v>
      </c>
      <c r="I27" s="228" t="s">
        <v>467</v>
      </c>
      <c r="L27" s="206" t="s">
        <v>461</v>
      </c>
      <c r="M27" s="338" t="s">
        <v>385</v>
      </c>
      <c r="N27" s="338" t="s">
        <v>462</v>
      </c>
      <c r="O27" s="207" t="s">
        <v>482</v>
      </c>
      <c r="P27" s="338" t="s">
        <v>463</v>
      </c>
      <c r="Q27" s="338" t="s">
        <v>464</v>
      </c>
      <c r="R27" s="338" t="s">
        <v>465</v>
      </c>
      <c r="S27" s="228" t="s">
        <v>467</v>
      </c>
    </row>
    <row r="28" spans="2:20" x14ac:dyDescent="0.25">
      <c r="B28" s="211" t="s">
        <v>468</v>
      </c>
      <c r="C28" s="216">
        <f>SUM(F28:I28)</f>
        <v>375</v>
      </c>
      <c r="D28" s="338" t="s">
        <v>469</v>
      </c>
      <c r="E28" s="207">
        <v>1</v>
      </c>
      <c r="F28" s="216">
        <f t="shared" ref="F28:H31" si="4">+E5*$E28+$H5/3</f>
        <v>125</v>
      </c>
      <c r="G28" s="216">
        <f t="shared" si="4"/>
        <v>125</v>
      </c>
      <c r="H28" s="216">
        <f t="shared" si="4"/>
        <v>125</v>
      </c>
      <c r="I28" s="228"/>
      <c r="L28" s="211" t="s">
        <v>468</v>
      </c>
      <c r="M28" s="216">
        <f>SUM(P28:S28)</f>
        <v>330</v>
      </c>
      <c r="N28" s="338" t="s">
        <v>469</v>
      </c>
      <c r="O28" s="207">
        <v>1</v>
      </c>
      <c r="P28" s="216">
        <f t="shared" ref="P28:R31" si="5">+O5*$O28+$R5/3</f>
        <v>110</v>
      </c>
      <c r="Q28" s="216">
        <f t="shared" si="5"/>
        <v>110</v>
      </c>
      <c r="R28" s="216">
        <f t="shared" si="5"/>
        <v>110</v>
      </c>
      <c r="S28" s="228"/>
    </row>
    <row r="29" spans="2:20" x14ac:dyDescent="0.25">
      <c r="B29" s="211" t="s">
        <v>470</v>
      </c>
      <c r="C29" s="216">
        <f t="shared" ref="C29:C34" si="6">SUM(F29:I29)</f>
        <v>375</v>
      </c>
      <c r="D29" s="338" t="s">
        <v>469</v>
      </c>
      <c r="E29" s="207">
        <v>1</v>
      </c>
      <c r="F29" s="216">
        <f t="shared" si="4"/>
        <v>125</v>
      </c>
      <c r="G29" s="216">
        <f t="shared" si="4"/>
        <v>125</v>
      </c>
      <c r="H29" s="216">
        <f t="shared" si="4"/>
        <v>125</v>
      </c>
      <c r="I29" s="228"/>
      <c r="L29" s="211" t="s">
        <v>470</v>
      </c>
      <c r="M29" s="216">
        <f t="shared" ref="M29:M34" si="7">SUM(P29:S29)</f>
        <v>330</v>
      </c>
      <c r="N29" s="338" t="s">
        <v>469</v>
      </c>
      <c r="O29" s="207">
        <v>1</v>
      </c>
      <c r="P29" s="216">
        <f t="shared" si="5"/>
        <v>110</v>
      </c>
      <c r="Q29" s="216">
        <f t="shared" si="5"/>
        <v>110</v>
      </c>
      <c r="R29" s="216">
        <f t="shared" si="5"/>
        <v>110</v>
      </c>
      <c r="S29" s="228"/>
    </row>
    <row r="30" spans="2:20" x14ac:dyDescent="0.25">
      <c r="B30" s="211" t="s">
        <v>471</v>
      </c>
      <c r="C30" s="216">
        <f t="shared" si="6"/>
        <v>375</v>
      </c>
      <c r="D30" s="338" t="s">
        <v>469</v>
      </c>
      <c r="E30" s="207">
        <v>1</v>
      </c>
      <c r="F30" s="216">
        <f t="shared" si="4"/>
        <v>125</v>
      </c>
      <c r="G30" s="216">
        <f t="shared" si="4"/>
        <v>125</v>
      </c>
      <c r="H30" s="216">
        <f t="shared" si="4"/>
        <v>125</v>
      </c>
      <c r="I30" s="228"/>
      <c r="L30" s="211" t="s">
        <v>471</v>
      </c>
      <c r="M30" s="216">
        <f t="shared" si="7"/>
        <v>330</v>
      </c>
      <c r="N30" s="338" t="s">
        <v>469</v>
      </c>
      <c r="O30" s="207">
        <v>1</v>
      </c>
      <c r="P30" s="216">
        <f t="shared" si="5"/>
        <v>110</v>
      </c>
      <c r="Q30" s="216">
        <f t="shared" si="5"/>
        <v>110</v>
      </c>
      <c r="R30" s="216">
        <f t="shared" si="5"/>
        <v>110</v>
      </c>
      <c r="S30" s="228"/>
    </row>
    <row r="31" spans="2:20" x14ac:dyDescent="0.25">
      <c r="B31" s="211" t="s">
        <v>472</v>
      </c>
      <c r="C31" s="216">
        <f t="shared" si="6"/>
        <v>375</v>
      </c>
      <c r="D31" s="338" t="s">
        <v>469</v>
      </c>
      <c r="E31" s="207">
        <v>1</v>
      </c>
      <c r="F31" s="216">
        <f t="shared" si="4"/>
        <v>125</v>
      </c>
      <c r="G31" s="216">
        <f t="shared" si="4"/>
        <v>125</v>
      </c>
      <c r="H31" s="216">
        <f t="shared" si="4"/>
        <v>125</v>
      </c>
      <c r="I31" s="228"/>
      <c r="L31" s="211" t="s">
        <v>472</v>
      </c>
      <c r="M31" s="216">
        <f t="shared" si="7"/>
        <v>330</v>
      </c>
      <c r="N31" s="338" t="s">
        <v>469</v>
      </c>
      <c r="O31" s="207">
        <v>1</v>
      </c>
      <c r="P31" s="216">
        <f t="shared" si="5"/>
        <v>110</v>
      </c>
      <c r="Q31" s="216">
        <f t="shared" si="5"/>
        <v>110</v>
      </c>
      <c r="R31" s="216">
        <f t="shared" si="5"/>
        <v>110</v>
      </c>
      <c r="S31" s="228"/>
    </row>
    <row r="32" spans="2:20" x14ac:dyDescent="0.25">
      <c r="B32" s="211" t="s">
        <v>473</v>
      </c>
      <c r="C32" s="216">
        <f t="shared" si="6"/>
        <v>375</v>
      </c>
      <c r="D32" s="338" t="s">
        <v>474</v>
      </c>
      <c r="E32" s="207">
        <v>0.6</v>
      </c>
      <c r="F32" s="207"/>
      <c r="G32" s="207"/>
      <c r="H32" s="207"/>
      <c r="I32" s="217">
        <f>+I9*$E32</f>
        <v>375</v>
      </c>
      <c r="L32" s="211" t="s">
        <v>473</v>
      </c>
      <c r="M32" s="216">
        <f t="shared" si="7"/>
        <v>330</v>
      </c>
      <c r="N32" s="338" t="s">
        <v>474</v>
      </c>
      <c r="O32" s="207">
        <v>0.6</v>
      </c>
      <c r="P32" s="207"/>
      <c r="Q32" s="207"/>
      <c r="R32" s="207"/>
      <c r="S32" s="217">
        <f>+S9*$O32</f>
        <v>330</v>
      </c>
    </row>
    <row r="33" spans="2:20" x14ac:dyDescent="0.25">
      <c r="B33" s="211" t="s">
        <v>475</v>
      </c>
      <c r="C33" s="216">
        <f t="shared" si="6"/>
        <v>250</v>
      </c>
      <c r="D33" s="338" t="s">
        <v>476</v>
      </c>
      <c r="E33" s="207">
        <v>0.4</v>
      </c>
      <c r="F33" s="207"/>
      <c r="G33" s="207"/>
      <c r="H33" s="207"/>
      <c r="I33" s="217">
        <f>+I10*$E33</f>
        <v>250</v>
      </c>
      <c r="L33" s="211" t="s">
        <v>475</v>
      </c>
      <c r="M33" s="216">
        <f t="shared" si="7"/>
        <v>220</v>
      </c>
      <c r="N33" s="338" t="s">
        <v>476</v>
      </c>
      <c r="O33" s="207">
        <v>0.4</v>
      </c>
      <c r="P33" s="207"/>
      <c r="Q33" s="207"/>
      <c r="R33" s="207"/>
      <c r="S33" s="217">
        <f>+S10*$O33</f>
        <v>220</v>
      </c>
    </row>
    <row r="34" spans="2:20" ht="15.75" thickBot="1" x14ac:dyDescent="0.3">
      <c r="B34" s="221" t="s">
        <v>477</v>
      </c>
      <c r="C34" s="216">
        <f t="shared" si="6"/>
        <v>250</v>
      </c>
      <c r="D34" s="519" t="s">
        <v>476</v>
      </c>
      <c r="E34" s="222">
        <v>0.4</v>
      </c>
      <c r="F34" s="222"/>
      <c r="G34" s="222"/>
      <c r="H34" s="222"/>
      <c r="I34" s="217">
        <f>+I11*$E34</f>
        <v>250</v>
      </c>
      <c r="L34" s="221" t="s">
        <v>477</v>
      </c>
      <c r="M34" s="216">
        <f t="shared" si="7"/>
        <v>220</v>
      </c>
      <c r="N34" s="519" t="s">
        <v>476</v>
      </c>
      <c r="O34" s="222">
        <v>0.4</v>
      </c>
      <c r="P34" s="222"/>
      <c r="Q34" s="222"/>
      <c r="R34" s="222"/>
      <c r="S34" s="217">
        <f>+S11*$O34</f>
        <v>220</v>
      </c>
    </row>
    <row r="35" spans="2:20" ht="15.75" thickBot="1" x14ac:dyDescent="0.3">
      <c r="B35" s="257" t="s">
        <v>385</v>
      </c>
      <c r="C35" s="259">
        <f>SUM(C28:C34)</f>
        <v>2375</v>
      </c>
      <c r="D35" s="258"/>
      <c r="E35" s="259"/>
      <c r="F35" s="259">
        <f>SUM(F28:F34)</f>
        <v>500</v>
      </c>
      <c r="G35" s="259">
        <f>SUM(G28:G34)</f>
        <v>500</v>
      </c>
      <c r="H35" s="259">
        <f>SUM(H28:H34)</f>
        <v>500</v>
      </c>
      <c r="I35" s="260">
        <f>SUM(I28:I34)</f>
        <v>875</v>
      </c>
      <c r="L35" s="257" t="s">
        <v>385</v>
      </c>
      <c r="M35" s="259">
        <f>SUM(M28:M34)</f>
        <v>2090</v>
      </c>
      <c r="N35" s="258"/>
      <c r="O35" s="259"/>
      <c r="P35" s="259">
        <f>SUM(P28:P34)</f>
        <v>440</v>
      </c>
      <c r="Q35" s="259">
        <f>SUM(Q28:Q34)</f>
        <v>440</v>
      </c>
      <c r="R35" s="259">
        <f>SUM(R28:R34)</f>
        <v>440</v>
      </c>
      <c r="S35" s="260">
        <f>SUM(S28:S34)</f>
        <v>770</v>
      </c>
    </row>
    <row r="36" spans="2:20" ht="15.75" thickBot="1" x14ac:dyDescent="0.3"/>
    <row r="37" spans="2:20" ht="15.75" thickBot="1" x14ac:dyDescent="0.3">
      <c r="B37" s="203" t="s">
        <v>458</v>
      </c>
      <c r="C37" s="204"/>
      <c r="D37" s="204"/>
      <c r="E37" s="204"/>
      <c r="F37" s="204"/>
      <c r="G37" s="204"/>
      <c r="H37" s="204"/>
      <c r="I37" s="205"/>
      <c r="L37" s="203" t="s">
        <v>458</v>
      </c>
      <c r="M37" s="204"/>
      <c r="N37" s="204"/>
      <c r="O37" s="204"/>
      <c r="P37" s="204"/>
      <c r="Q37" s="204"/>
      <c r="R37" s="204"/>
      <c r="S37" s="205"/>
    </row>
    <row r="38" spans="2:20" x14ac:dyDescent="0.25">
      <c r="B38" s="203"/>
      <c r="C38" s="204" t="s">
        <v>483</v>
      </c>
      <c r="D38" s="204"/>
      <c r="E38" s="204"/>
      <c r="F38" s="204"/>
      <c r="G38" s="204"/>
      <c r="H38" s="204"/>
      <c r="I38" s="205"/>
      <c r="L38" s="203"/>
      <c r="M38" s="204" t="s">
        <v>484</v>
      </c>
      <c r="N38" s="204"/>
      <c r="O38" s="204"/>
      <c r="P38" s="204"/>
      <c r="Q38" s="204"/>
      <c r="R38" s="204"/>
      <c r="S38" s="205"/>
    </row>
    <row r="39" spans="2:20" x14ac:dyDescent="0.25">
      <c r="B39" s="206" t="s">
        <v>461</v>
      </c>
      <c r="C39" s="338" t="s">
        <v>385</v>
      </c>
      <c r="D39" s="338" t="s">
        <v>462</v>
      </c>
      <c r="E39" s="207" t="s">
        <v>482</v>
      </c>
      <c r="F39" s="338" t="s">
        <v>463</v>
      </c>
      <c r="G39" s="338" t="s">
        <v>464</v>
      </c>
      <c r="H39" s="338" t="s">
        <v>465</v>
      </c>
      <c r="I39" s="228" t="s">
        <v>467</v>
      </c>
      <c r="L39" s="206" t="s">
        <v>461</v>
      </c>
      <c r="M39" s="338" t="s">
        <v>385</v>
      </c>
      <c r="N39" s="338" t="s">
        <v>462</v>
      </c>
      <c r="O39" s="207" t="s">
        <v>482</v>
      </c>
      <c r="P39" s="338" t="s">
        <v>463</v>
      </c>
      <c r="Q39" s="338" t="s">
        <v>464</v>
      </c>
      <c r="R39" s="338" t="s">
        <v>465</v>
      </c>
      <c r="S39" s="228" t="s">
        <v>467</v>
      </c>
    </row>
    <row r="40" spans="2:20" x14ac:dyDescent="0.25">
      <c r="B40" s="211" t="s">
        <v>468</v>
      </c>
      <c r="C40" s="216">
        <f t="shared" ref="C40:C46" si="8">+$C$47/$C$35*C28</f>
        <v>828947.3684210527</v>
      </c>
      <c r="D40" s="338" t="s">
        <v>469</v>
      </c>
      <c r="E40" s="207">
        <v>1</v>
      </c>
      <c r="F40" s="216">
        <f t="shared" ref="F40:H43" si="9">+$C$47/$C$35*F28</f>
        <v>276315.78947368421</v>
      </c>
      <c r="G40" s="216">
        <f t="shared" si="9"/>
        <v>276315.78947368421</v>
      </c>
      <c r="H40" s="216">
        <f t="shared" si="9"/>
        <v>276315.78947368421</v>
      </c>
      <c r="I40" s="228"/>
      <c r="L40" s="211" t="s">
        <v>468</v>
      </c>
      <c r="M40" s="216">
        <f t="shared" ref="M40:M46" si="10">+$M$47/$M$35*M28</f>
        <v>776842.10526315786</v>
      </c>
      <c r="N40" s="338" t="s">
        <v>469</v>
      </c>
      <c r="O40" s="207">
        <v>1</v>
      </c>
      <c r="P40" s="216">
        <f>+$M$47/$M$35*P28</f>
        <v>258947.36842105264</v>
      </c>
      <c r="Q40" s="216">
        <f t="shared" ref="Q40:R40" si="11">+$M$47/$M$35*Q28</f>
        <v>258947.36842105264</v>
      </c>
      <c r="R40" s="216">
        <f t="shared" si="11"/>
        <v>258947.36842105264</v>
      </c>
      <c r="S40" s="228"/>
    </row>
    <row r="41" spans="2:20" x14ac:dyDescent="0.25">
      <c r="B41" s="211" t="s">
        <v>470</v>
      </c>
      <c r="C41" s="216">
        <f t="shared" si="8"/>
        <v>828947.3684210527</v>
      </c>
      <c r="D41" s="338" t="s">
        <v>469</v>
      </c>
      <c r="E41" s="207">
        <v>1</v>
      </c>
      <c r="F41" s="216">
        <f t="shared" si="9"/>
        <v>276315.78947368421</v>
      </c>
      <c r="G41" s="216">
        <f t="shared" si="9"/>
        <v>276315.78947368421</v>
      </c>
      <c r="H41" s="216">
        <f t="shared" si="9"/>
        <v>276315.78947368421</v>
      </c>
      <c r="I41" s="228"/>
      <c r="L41" s="211" t="s">
        <v>470</v>
      </c>
      <c r="M41" s="216">
        <f t="shared" si="10"/>
        <v>776842.10526315786</v>
      </c>
      <c r="N41" s="338" t="s">
        <v>469</v>
      </c>
      <c r="O41" s="207">
        <v>1</v>
      </c>
      <c r="P41" s="216">
        <f t="shared" ref="P41:R43" si="12">+$M$47/$M$35*P29</f>
        <v>258947.36842105264</v>
      </c>
      <c r="Q41" s="216">
        <f t="shared" si="12"/>
        <v>258947.36842105264</v>
      </c>
      <c r="R41" s="216">
        <f t="shared" si="12"/>
        <v>258947.36842105264</v>
      </c>
      <c r="S41" s="228"/>
    </row>
    <row r="42" spans="2:20" x14ac:dyDescent="0.25">
      <c r="B42" s="211" t="s">
        <v>471</v>
      </c>
      <c r="C42" s="216">
        <f t="shared" si="8"/>
        <v>828947.3684210527</v>
      </c>
      <c r="D42" s="338" t="s">
        <v>469</v>
      </c>
      <c r="E42" s="207">
        <v>1</v>
      </c>
      <c r="F42" s="216">
        <f t="shared" si="9"/>
        <v>276315.78947368421</v>
      </c>
      <c r="G42" s="216">
        <f t="shared" si="9"/>
        <v>276315.78947368421</v>
      </c>
      <c r="H42" s="216">
        <f t="shared" si="9"/>
        <v>276315.78947368421</v>
      </c>
      <c r="I42" s="228"/>
      <c r="L42" s="211" t="s">
        <v>471</v>
      </c>
      <c r="M42" s="216">
        <f t="shared" si="10"/>
        <v>776842.10526315786</v>
      </c>
      <c r="N42" s="338" t="s">
        <v>469</v>
      </c>
      <c r="O42" s="207">
        <v>1</v>
      </c>
      <c r="P42" s="216">
        <f t="shared" si="12"/>
        <v>258947.36842105264</v>
      </c>
      <c r="Q42" s="216">
        <f t="shared" si="12"/>
        <v>258947.36842105264</v>
      </c>
      <c r="R42" s="216">
        <f t="shared" si="12"/>
        <v>258947.36842105264</v>
      </c>
      <c r="S42" s="228"/>
    </row>
    <row r="43" spans="2:20" x14ac:dyDescent="0.25">
      <c r="B43" s="211" t="s">
        <v>472</v>
      </c>
      <c r="C43" s="216">
        <f t="shared" si="8"/>
        <v>828947.3684210527</v>
      </c>
      <c r="D43" s="338" t="s">
        <v>469</v>
      </c>
      <c r="E43" s="207">
        <v>1</v>
      </c>
      <c r="F43" s="216">
        <f t="shared" si="9"/>
        <v>276315.78947368421</v>
      </c>
      <c r="G43" s="216">
        <f t="shared" si="9"/>
        <v>276315.78947368421</v>
      </c>
      <c r="H43" s="216">
        <f t="shared" si="9"/>
        <v>276315.78947368421</v>
      </c>
      <c r="I43" s="228"/>
      <c r="L43" s="211" t="s">
        <v>472</v>
      </c>
      <c r="M43" s="216">
        <f t="shared" si="10"/>
        <v>776842.10526315786</v>
      </c>
      <c r="N43" s="338" t="s">
        <v>469</v>
      </c>
      <c r="O43" s="207">
        <v>1</v>
      </c>
      <c r="P43" s="216">
        <f t="shared" si="12"/>
        <v>258947.36842105264</v>
      </c>
      <c r="Q43" s="216">
        <f t="shared" si="12"/>
        <v>258947.36842105264</v>
      </c>
      <c r="R43" s="216">
        <f t="shared" si="12"/>
        <v>258947.36842105264</v>
      </c>
      <c r="S43" s="228"/>
    </row>
    <row r="44" spans="2:20" x14ac:dyDescent="0.25">
      <c r="B44" s="211" t="s">
        <v>473</v>
      </c>
      <c r="C44" s="216">
        <f t="shared" si="8"/>
        <v>828947.3684210527</v>
      </c>
      <c r="D44" s="338" t="s">
        <v>474</v>
      </c>
      <c r="E44" s="207">
        <v>0.6</v>
      </c>
      <c r="F44" s="207"/>
      <c r="G44" s="207"/>
      <c r="H44" s="207"/>
      <c r="I44" s="217">
        <f>+$C$47/$C$35*I32</f>
        <v>828947.3684210527</v>
      </c>
      <c r="L44" s="211" t="s">
        <v>473</v>
      </c>
      <c r="M44" s="216">
        <f t="shared" si="10"/>
        <v>776842.10526315786</v>
      </c>
      <c r="N44" s="338" t="s">
        <v>474</v>
      </c>
      <c r="O44" s="207">
        <v>0.6</v>
      </c>
      <c r="P44" s="207"/>
      <c r="Q44" s="207"/>
      <c r="R44" s="207"/>
      <c r="S44" s="217">
        <f>+$M$47/$M$35*S32</f>
        <v>776842.10526315786</v>
      </c>
    </row>
    <row r="45" spans="2:20" x14ac:dyDescent="0.25">
      <c r="B45" s="211" t="s">
        <v>475</v>
      </c>
      <c r="C45" s="216">
        <f t="shared" si="8"/>
        <v>552631.57894736843</v>
      </c>
      <c r="D45" s="338" t="s">
        <v>476</v>
      </c>
      <c r="E45" s="207">
        <v>0.4</v>
      </c>
      <c r="F45" s="207"/>
      <c r="G45" s="207"/>
      <c r="H45" s="207"/>
      <c r="I45" s="217">
        <f>+$C$47/$C$35*I33</f>
        <v>552631.57894736843</v>
      </c>
      <c r="L45" s="211" t="s">
        <v>475</v>
      </c>
      <c r="M45" s="216">
        <f t="shared" si="10"/>
        <v>517894.73684210528</v>
      </c>
      <c r="N45" s="338" t="s">
        <v>476</v>
      </c>
      <c r="O45" s="207">
        <v>0.4</v>
      </c>
      <c r="P45" s="207"/>
      <c r="Q45" s="207"/>
      <c r="R45" s="207"/>
      <c r="S45" s="217">
        <f>+$M$47/$M$35*S33</f>
        <v>517894.73684210528</v>
      </c>
    </row>
    <row r="46" spans="2:20" ht="15.75" thickBot="1" x14ac:dyDescent="0.3">
      <c r="B46" s="221" t="s">
        <v>477</v>
      </c>
      <c r="C46" s="216">
        <f t="shared" si="8"/>
        <v>552631.57894736843</v>
      </c>
      <c r="D46" s="519" t="s">
        <v>476</v>
      </c>
      <c r="E46" s="222">
        <v>0.4</v>
      </c>
      <c r="F46" s="222"/>
      <c r="G46" s="222"/>
      <c r="H46" s="222"/>
      <c r="I46" s="217">
        <f>+$C$47/$C$35*I34</f>
        <v>552631.57894736843</v>
      </c>
      <c r="L46" s="221" t="s">
        <v>477</v>
      </c>
      <c r="M46" s="216">
        <f t="shared" si="10"/>
        <v>517894.73684210528</v>
      </c>
      <c r="N46" s="519" t="s">
        <v>476</v>
      </c>
      <c r="O46" s="222">
        <v>0.4</v>
      </c>
      <c r="P46" s="222"/>
      <c r="Q46" s="222"/>
      <c r="R46" s="222"/>
      <c r="S46" s="217">
        <f>+$M$47/$M$35*S34</f>
        <v>517894.73684210528</v>
      </c>
    </row>
    <row r="47" spans="2:20" ht="15.75" thickBot="1" x14ac:dyDescent="0.3">
      <c r="B47" s="257" t="s">
        <v>385</v>
      </c>
      <c r="C47" s="259">
        <v>5250000</v>
      </c>
      <c r="D47" s="258"/>
      <c r="E47" s="259"/>
      <c r="F47" s="259">
        <f>SUM(F40:F46)</f>
        <v>1105263.1578947369</v>
      </c>
      <c r="G47" s="259">
        <f>SUM(G40:G46)</f>
        <v>1105263.1578947369</v>
      </c>
      <c r="H47" s="259">
        <f>SUM(H40:H46)</f>
        <v>1105263.1578947369</v>
      </c>
      <c r="I47" s="260">
        <f>SUM(I40:I46)</f>
        <v>1934210.5263157897</v>
      </c>
      <c r="J47" s="368"/>
      <c r="L47" s="257" t="s">
        <v>385</v>
      </c>
      <c r="M47" s="259">
        <f>+M48+M49</f>
        <v>4920000</v>
      </c>
      <c r="N47" s="258"/>
      <c r="O47" s="259"/>
      <c r="P47" s="259">
        <f>SUM(P40:P46)</f>
        <v>1035789.4736842106</v>
      </c>
      <c r="Q47" s="259">
        <f>SUM(Q40:Q46)</f>
        <v>1035789.4736842106</v>
      </c>
      <c r="R47" s="259">
        <f>SUM(R40:R46)</f>
        <v>1035789.4736842106</v>
      </c>
      <c r="S47" s="260">
        <f>SUM(S40:S46)</f>
        <v>1812631.5789473685</v>
      </c>
      <c r="T47" s="368"/>
    </row>
    <row r="48" spans="2:20" x14ac:dyDescent="0.25">
      <c r="B48" s="203" t="s">
        <v>485</v>
      </c>
      <c r="C48" s="219">
        <v>2500000</v>
      </c>
      <c r="D48" s="204"/>
      <c r="E48" s="220"/>
      <c r="F48" s="216"/>
      <c r="G48" s="216"/>
      <c r="H48" s="216"/>
      <c r="I48" s="216"/>
      <c r="L48" s="203" t="s">
        <v>485</v>
      </c>
      <c r="M48" s="219">
        <v>2500000</v>
      </c>
      <c r="N48" s="204"/>
      <c r="O48" s="220"/>
      <c r="P48" s="216"/>
      <c r="Q48" s="216"/>
      <c r="R48" s="216"/>
      <c r="S48" s="216"/>
    </row>
    <row r="49" spans="2:21" ht="15.75" thickBot="1" x14ac:dyDescent="0.3">
      <c r="B49" s="221" t="s">
        <v>486</v>
      </c>
      <c r="C49" s="224">
        <f>+C47-C48</f>
        <v>2750000</v>
      </c>
      <c r="D49" s="222"/>
      <c r="E49" s="337"/>
      <c r="L49" s="221" t="s">
        <v>486</v>
      </c>
      <c r="M49" s="224">
        <f>+C49/C35*M35</f>
        <v>2420000</v>
      </c>
      <c r="N49" s="222"/>
      <c r="O49" s="337"/>
    </row>
    <row r="50" spans="2:21" ht="15.75" thickBot="1" x14ac:dyDescent="0.3">
      <c r="B50" s="203" t="s">
        <v>458</v>
      </c>
      <c r="C50" s="204"/>
      <c r="D50" s="204"/>
      <c r="E50" s="204"/>
      <c r="F50" s="204"/>
      <c r="G50" s="204"/>
      <c r="H50" s="204"/>
      <c r="I50" s="205"/>
      <c r="L50" s="203" t="s">
        <v>458</v>
      </c>
      <c r="M50" s="204"/>
      <c r="N50" s="204"/>
      <c r="O50" s="204"/>
      <c r="P50" s="204"/>
      <c r="Q50" s="204"/>
      <c r="R50" s="204"/>
      <c r="S50" s="205"/>
    </row>
    <row r="51" spans="2:21" x14ac:dyDescent="0.25">
      <c r="B51" s="203"/>
      <c r="C51" s="204" t="s">
        <v>1280</v>
      </c>
      <c r="D51" s="204"/>
      <c r="E51" s="204"/>
      <c r="F51" s="204"/>
      <c r="G51" s="204"/>
      <c r="H51" s="204"/>
      <c r="I51" s="205"/>
      <c r="L51" s="203"/>
      <c r="M51" s="204" t="s">
        <v>1281</v>
      </c>
      <c r="N51" s="204"/>
      <c r="O51" s="204"/>
      <c r="P51" s="204"/>
      <c r="Q51" s="204"/>
      <c r="R51" s="204"/>
      <c r="S51" s="205"/>
    </row>
    <row r="52" spans="2:21" x14ac:dyDescent="0.25">
      <c r="B52" s="206" t="s">
        <v>461</v>
      </c>
      <c r="C52" s="338" t="s">
        <v>385</v>
      </c>
      <c r="D52" s="338" t="s">
        <v>462</v>
      </c>
      <c r="E52" s="207" t="s">
        <v>482</v>
      </c>
      <c r="F52" s="338" t="s">
        <v>463</v>
      </c>
      <c r="G52" s="338" t="s">
        <v>464</v>
      </c>
      <c r="H52" s="338" t="s">
        <v>465</v>
      </c>
      <c r="I52" s="228" t="s">
        <v>467</v>
      </c>
      <c r="L52" s="206" t="s">
        <v>461</v>
      </c>
      <c r="M52" s="338" t="s">
        <v>385</v>
      </c>
      <c r="N52" s="338" t="s">
        <v>462</v>
      </c>
      <c r="O52" s="207" t="s">
        <v>482</v>
      </c>
      <c r="P52" s="338" t="s">
        <v>463</v>
      </c>
      <c r="Q52" s="338" t="s">
        <v>464</v>
      </c>
      <c r="R52" s="338" t="s">
        <v>465</v>
      </c>
      <c r="S52" s="228" t="s">
        <v>467</v>
      </c>
    </row>
    <row r="53" spans="2:21" x14ac:dyDescent="0.25">
      <c r="B53" s="211" t="s">
        <v>468</v>
      </c>
      <c r="C53" s="216">
        <f t="shared" ref="C53:C59" si="13">+C16-C40</f>
        <v>491052.6315789473</v>
      </c>
      <c r="D53" s="338" t="s">
        <v>469</v>
      </c>
      <c r="E53" s="207">
        <v>1</v>
      </c>
      <c r="F53" s="216">
        <f>+E16-F40</f>
        <v>163684.21052631579</v>
      </c>
      <c r="G53" s="216">
        <f t="shared" ref="G53:H53" si="14">+F16-G40</f>
        <v>163684.21052631579</v>
      </c>
      <c r="H53" s="216">
        <f t="shared" si="14"/>
        <v>163684.21052631579</v>
      </c>
      <c r="I53" s="228"/>
      <c r="L53" s="211" t="s">
        <v>468</v>
      </c>
      <c r="M53" s="216">
        <f t="shared" ref="M53:M59" si="15">+M16-M40</f>
        <v>411157.89473684214</v>
      </c>
      <c r="N53" s="338" t="s">
        <v>469</v>
      </c>
      <c r="O53" s="207">
        <v>1</v>
      </c>
      <c r="P53" s="216">
        <f t="shared" ref="P53:R56" si="16">+P16-P40</f>
        <v>137052.63157894736</v>
      </c>
      <c r="Q53" s="216">
        <f t="shared" si="16"/>
        <v>137052.63157894736</v>
      </c>
      <c r="R53" s="216">
        <f t="shared" si="16"/>
        <v>137052.63157894736</v>
      </c>
      <c r="S53" s="228"/>
    </row>
    <row r="54" spans="2:21" x14ac:dyDescent="0.25">
      <c r="B54" s="211" t="s">
        <v>470</v>
      </c>
      <c r="C54" s="216">
        <f t="shared" si="13"/>
        <v>431052.6315789473</v>
      </c>
      <c r="D54" s="338" t="s">
        <v>469</v>
      </c>
      <c r="E54" s="207">
        <v>1</v>
      </c>
      <c r="F54" s="216">
        <f t="shared" ref="F54:H54" si="17">+E17-F41</f>
        <v>143684.21052631579</v>
      </c>
      <c r="G54" s="216">
        <f t="shared" si="17"/>
        <v>143684.21052631579</v>
      </c>
      <c r="H54" s="216">
        <f t="shared" si="17"/>
        <v>143684.21052631579</v>
      </c>
      <c r="I54" s="228"/>
      <c r="L54" s="211" t="s">
        <v>470</v>
      </c>
      <c r="M54" s="216">
        <f t="shared" si="15"/>
        <v>357157.89473684214</v>
      </c>
      <c r="N54" s="338" t="s">
        <v>469</v>
      </c>
      <c r="O54" s="207">
        <v>1</v>
      </c>
      <c r="P54" s="216">
        <f t="shared" si="16"/>
        <v>119052.63157894736</v>
      </c>
      <c r="Q54" s="216">
        <f t="shared" si="16"/>
        <v>119052.63157894736</v>
      </c>
      <c r="R54" s="216">
        <f t="shared" si="16"/>
        <v>119052.63157894736</v>
      </c>
      <c r="S54" s="228"/>
    </row>
    <row r="55" spans="2:21" x14ac:dyDescent="0.25">
      <c r="B55" s="211" t="s">
        <v>471</v>
      </c>
      <c r="C55" s="216">
        <f t="shared" si="13"/>
        <v>431052.6315789473</v>
      </c>
      <c r="D55" s="338" t="s">
        <v>469</v>
      </c>
      <c r="E55" s="207">
        <v>1</v>
      </c>
      <c r="F55" s="216">
        <f t="shared" ref="F55:H55" si="18">+E18-F42</f>
        <v>143684.21052631579</v>
      </c>
      <c r="G55" s="216">
        <f t="shared" si="18"/>
        <v>143684.21052631579</v>
      </c>
      <c r="H55" s="216">
        <f t="shared" si="18"/>
        <v>143684.21052631579</v>
      </c>
      <c r="I55" s="228"/>
      <c r="L55" s="211" t="s">
        <v>471</v>
      </c>
      <c r="M55" s="216">
        <f t="shared" si="15"/>
        <v>357157.89473684214</v>
      </c>
      <c r="N55" s="338" t="s">
        <v>469</v>
      </c>
      <c r="O55" s="207">
        <v>1</v>
      </c>
      <c r="P55" s="216">
        <f t="shared" si="16"/>
        <v>119052.63157894736</v>
      </c>
      <c r="Q55" s="216">
        <f t="shared" si="16"/>
        <v>119052.63157894736</v>
      </c>
      <c r="R55" s="216">
        <f t="shared" si="16"/>
        <v>119052.63157894736</v>
      </c>
      <c r="S55" s="228"/>
    </row>
    <row r="56" spans="2:21" x14ac:dyDescent="0.25">
      <c r="B56" s="211" t="s">
        <v>472</v>
      </c>
      <c r="C56" s="216">
        <f t="shared" si="13"/>
        <v>371052.6315789473</v>
      </c>
      <c r="D56" s="338" t="s">
        <v>469</v>
      </c>
      <c r="E56" s="207">
        <v>1</v>
      </c>
      <c r="F56" s="216">
        <f t="shared" ref="F56:H56" si="19">+E19-F43</f>
        <v>123684.21052631579</v>
      </c>
      <c r="G56" s="216">
        <f t="shared" si="19"/>
        <v>123684.21052631579</v>
      </c>
      <c r="H56" s="216">
        <f t="shared" si="19"/>
        <v>123684.21052631579</v>
      </c>
      <c r="I56" s="228"/>
      <c r="L56" s="211" t="s">
        <v>472</v>
      </c>
      <c r="M56" s="216">
        <f t="shared" si="15"/>
        <v>303157.89473684214</v>
      </c>
      <c r="N56" s="338" t="s">
        <v>469</v>
      </c>
      <c r="O56" s="207">
        <v>1</v>
      </c>
      <c r="P56" s="216">
        <f t="shared" si="16"/>
        <v>101052.63157894736</v>
      </c>
      <c r="Q56" s="216">
        <f t="shared" si="16"/>
        <v>101052.63157894736</v>
      </c>
      <c r="R56" s="216">
        <f t="shared" si="16"/>
        <v>101052.63157894736</v>
      </c>
      <c r="S56" s="228"/>
    </row>
    <row r="57" spans="2:21" x14ac:dyDescent="0.25">
      <c r="B57" s="211" t="s">
        <v>473</v>
      </c>
      <c r="C57" s="216">
        <f t="shared" si="13"/>
        <v>233552.6315789473</v>
      </c>
      <c r="D57" s="338" t="s">
        <v>474</v>
      </c>
      <c r="E57" s="207">
        <v>0.6</v>
      </c>
      <c r="F57" s="207"/>
      <c r="G57" s="207"/>
      <c r="H57" s="207"/>
      <c r="I57" s="217">
        <f>+H20-I44</f>
        <v>233552.6315789473</v>
      </c>
      <c r="L57" s="211" t="s">
        <v>473</v>
      </c>
      <c r="M57" s="216">
        <f t="shared" si="15"/>
        <v>158157.89473684214</v>
      </c>
      <c r="N57" s="338" t="s">
        <v>474</v>
      </c>
      <c r="O57" s="207">
        <v>0.6</v>
      </c>
      <c r="P57" s="207"/>
      <c r="Q57" s="207"/>
      <c r="R57" s="207"/>
      <c r="S57" s="217">
        <f>+S20-S44</f>
        <v>158157.89473684214</v>
      </c>
    </row>
    <row r="58" spans="2:21" x14ac:dyDescent="0.25">
      <c r="B58" s="211" t="s">
        <v>475</v>
      </c>
      <c r="C58" s="216">
        <f t="shared" si="13"/>
        <v>384868.42105263157</v>
      </c>
      <c r="D58" s="338" t="s">
        <v>476</v>
      </c>
      <c r="E58" s="207">
        <v>0.4</v>
      </c>
      <c r="F58" s="207"/>
      <c r="G58" s="207"/>
      <c r="H58" s="207"/>
      <c r="I58" s="217">
        <f>+H21-I45</f>
        <v>384868.42105263157</v>
      </c>
      <c r="L58" s="211" t="s">
        <v>475</v>
      </c>
      <c r="M58" s="216">
        <f t="shared" si="15"/>
        <v>307105.26315789472</v>
      </c>
      <c r="N58" s="338" t="s">
        <v>476</v>
      </c>
      <c r="O58" s="207">
        <v>0.4</v>
      </c>
      <c r="P58" s="207"/>
      <c r="Q58" s="207"/>
      <c r="R58" s="207"/>
      <c r="S58" s="217">
        <f>+S21-S45</f>
        <v>307105.26315789472</v>
      </c>
    </row>
    <row r="59" spans="2:21" ht="15.75" thickBot="1" x14ac:dyDescent="0.3">
      <c r="B59" s="221" t="s">
        <v>477</v>
      </c>
      <c r="C59" s="216">
        <f t="shared" si="13"/>
        <v>384868.42105263157</v>
      </c>
      <c r="D59" s="519" t="s">
        <v>476</v>
      </c>
      <c r="E59" s="222">
        <v>0.4</v>
      </c>
      <c r="F59" s="222"/>
      <c r="G59" s="222"/>
      <c r="H59" s="222"/>
      <c r="I59" s="217">
        <f>+H22-I46</f>
        <v>384868.42105263157</v>
      </c>
      <c r="L59" s="221" t="s">
        <v>477</v>
      </c>
      <c r="M59" s="216">
        <f t="shared" si="15"/>
        <v>307105.26315789472</v>
      </c>
      <c r="N59" s="519" t="s">
        <v>476</v>
      </c>
      <c r="O59" s="222">
        <v>0.4</v>
      </c>
      <c r="P59" s="222"/>
      <c r="Q59" s="222"/>
      <c r="R59" s="222"/>
      <c r="S59" s="217">
        <f>+S22-S46</f>
        <v>307105.26315789472</v>
      </c>
    </row>
    <row r="60" spans="2:21" ht="15.75" thickBot="1" x14ac:dyDescent="0.3">
      <c r="B60" s="257" t="s">
        <v>385</v>
      </c>
      <c r="C60" s="259">
        <f>SUM(C53:C59)</f>
        <v>2727499.9999999995</v>
      </c>
      <c r="D60" s="258"/>
      <c r="E60" s="259"/>
      <c r="F60" s="259">
        <f>SUM(F53:F59)</f>
        <v>574736.84210526315</v>
      </c>
      <c r="G60" s="259">
        <f>SUM(G53:G59)</f>
        <v>574736.84210526315</v>
      </c>
      <c r="H60" s="259">
        <f>SUM(H53:H59)</f>
        <v>574736.84210526315</v>
      </c>
      <c r="I60" s="260">
        <f>SUM(I53:I59)</f>
        <v>1003289.4736842104</v>
      </c>
      <c r="L60" s="203" t="s">
        <v>385</v>
      </c>
      <c r="M60" s="219">
        <f>SUM(M53:M59)</f>
        <v>2201000.0000000005</v>
      </c>
      <c r="N60" s="204"/>
      <c r="O60" s="219"/>
      <c r="P60" s="219">
        <f>SUM(P53:P59)</f>
        <v>476210.52631578944</v>
      </c>
      <c r="Q60" s="219">
        <f>SUM(Q53:Q59)</f>
        <v>476210.52631578944</v>
      </c>
      <c r="R60" s="259">
        <f>SUM(R53:R59)</f>
        <v>476210.52631578944</v>
      </c>
      <c r="S60" s="260">
        <f>SUM(S53:S59)</f>
        <v>772368.42105263157</v>
      </c>
      <c r="U60" s="368">
        <f>+C60-M60</f>
        <v>526499.99999999907</v>
      </c>
    </row>
    <row r="61" spans="2:21" x14ac:dyDescent="0.25">
      <c r="L61" s="520" t="s">
        <v>487</v>
      </c>
      <c r="M61" s="521"/>
      <c r="N61" s="522">
        <f>+C60-M60</f>
        <v>526499.99999999907</v>
      </c>
      <c r="O61" s="521"/>
      <c r="P61" s="522"/>
      <c r="Q61" s="523"/>
      <c r="R61" s="368"/>
      <c r="S61" s="368"/>
    </row>
    <row r="62" spans="2:21" x14ac:dyDescent="0.25">
      <c r="L62" s="524" t="s">
        <v>488</v>
      </c>
      <c r="M62" s="422"/>
      <c r="N62" s="406">
        <f>+M48/C35*(C35-M35)</f>
        <v>300000</v>
      </c>
      <c r="O62" s="422" t="s">
        <v>489</v>
      </c>
      <c r="P62" s="422"/>
      <c r="Q62" s="525"/>
    </row>
    <row r="63" spans="2:21" x14ac:dyDescent="0.25">
      <c r="L63" s="524" t="s">
        <v>426</v>
      </c>
      <c r="M63" s="422"/>
      <c r="N63" s="406">
        <f>+N61-N62</f>
        <v>226499.99999999907</v>
      </c>
      <c r="O63" s="422"/>
      <c r="P63" s="422"/>
      <c r="Q63" s="525"/>
    </row>
    <row r="64" spans="2:21" x14ac:dyDescent="0.25">
      <c r="L64" s="524" t="s">
        <v>490</v>
      </c>
      <c r="M64" s="422"/>
      <c r="N64" s="406">
        <v>32000</v>
      </c>
      <c r="O64" s="422" t="s">
        <v>491</v>
      </c>
      <c r="P64" s="422"/>
      <c r="Q64" s="525"/>
    </row>
    <row r="65" spans="12:17" x14ac:dyDescent="0.25">
      <c r="L65" s="524" t="s">
        <v>492</v>
      </c>
      <c r="M65" s="422"/>
      <c r="N65" s="406">
        <f>1056/8125*243750</f>
        <v>31680.000000000004</v>
      </c>
      <c r="O65" s="422" t="s">
        <v>493</v>
      </c>
      <c r="P65" s="422"/>
      <c r="Q65" s="525"/>
    </row>
    <row r="66" spans="12:17" x14ac:dyDescent="0.25">
      <c r="L66" s="524" t="s">
        <v>494</v>
      </c>
      <c r="M66" s="422"/>
      <c r="N66" s="406">
        <f>+C23*0.04/12</f>
        <v>26591.666666666668</v>
      </c>
      <c r="O66" s="422" t="s">
        <v>495</v>
      </c>
      <c r="P66" s="422"/>
      <c r="Q66" s="525"/>
    </row>
    <row r="67" spans="12:17" x14ac:dyDescent="0.25">
      <c r="L67" s="526" t="s">
        <v>191</v>
      </c>
      <c r="M67" s="527"/>
      <c r="N67" s="528">
        <f>SUM(N62:N66)</f>
        <v>616771.6666666657</v>
      </c>
      <c r="O67" s="527"/>
      <c r="P67" s="527"/>
      <c r="Q67" s="52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topLeftCell="A34" workbookViewId="0">
      <selection activeCell="H48" sqref="H48"/>
    </sheetView>
  </sheetViews>
  <sheetFormatPr baseColWidth="10" defaultColWidth="9.140625" defaultRowHeight="15.75" x14ac:dyDescent="0.25"/>
  <cols>
    <col min="1" max="1" width="9.140625" style="289"/>
    <col min="2" max="2" width="37.28515625" style="289" customWidth="1"/>
    <col min="3" max="3" width="13.28515625" style="289" customWidth="1"/>
    <col min="4" max="4" width="13" style="289" customWidth="1"/>
    <col min="5" max="5" width="7.28515625" style="289" customWidth="1"/>
    <col min="6" max="7" width="12" style="291" bestFit="1" customWidth="1"/>
    <col min="8" max="8" width="10.28515625" style="291" bestFit="1" customWidth="1"/>
    <col min="9" max="9" width="6.7109375" style="289" bestFit="1" customWidth="1"/>
    <col min="10" max="10" width="7.28515625" style="289" customWidth="1"/>
    <col min="11" max="12" width="9.140625" style="289"/>
    <col min="13" max="13" width="21" style="289" customWidth="1"/>
    <col min="14" max="14" width="10.28515625" style="530" bestFit="1" customWidth="1"/>
    <col min="15" max="16384" width="9.140625" style="289"/>
  </cols>
  <sheetData>
    <row r="1" spans="2:11" ht="16.5" thickBot="1" x14ac:dyDescent="0.3"/>
    <row r="2" spans="2:11" x14ac:dyDescent="0.25">
      <c r="B2" s="325" t="s">
        <v>591</v>
      </c>
      <c r="C2" s="303"/>
      <c r="D2" s="303"/>
      <c r="E2" s="303"/>
      <c r="F2" s="531"/>
      <c r="G2" s="531"/>
      <c r="H2" s="531"/>
      <c r="I2" s="303"/>
      <c r="J2" s="304"/>
    </row>
    <row r="3" spans="2:11" x14ac:dyDescent="0.25">
      <c r="B3" s="309" t="s">
        <v>592</v>
      </c>
      <c r="C3" s="296"/>
      <c r="D3" s="296"/>
      <c r="E3" s="296" t="s">
        <v>593</v>
      </c>
      <c r="F3" s="299" t="s">
        <v>594</v>
      </c>
      <c r="G3" s="299" t="s">
        <v>595</v>
      </c>
      <c r="H3" s="299"/>
      <c r="I3" s="296"/>
      <c r="J3" s="302"/>
    </row>
    <row r="4" spans="2:11" ht="16.5" thickBot="1" x14ac:dyDescent="0.3">
      <c r="B4" s="532" t="s">
        <v>596</v>
      </c>
      <c r="C4" s="533">
        <v>39357</v>
      </c>
      <c r="D4" s="533"/>
      <c r="E4" s="534"/>
      <c r="F4" s="535">
        <v>-100000</v>
      </c>
      <c r="G4" s="535">
        <f>+F4</f>
        <v>-100000</v>
      </c>
      <c r="H4" s="535"/>
      <c r="I4" s="536"/>
      <c r="J4" s="537"/>
    </row>
    <row r="5" spans="2:11" x14ac:dyDescent="0.25">
      <c r="B5" s="538"/>
      <c r="C5" s="538"/>
      <c r="D5" s="538"/>
      <c r="I5" s="539"/>
      <c r="J5" s="539"/>
    </row>
    <row r="6" spans="2:11" ht="14.25" customHeight="1" thickBot="1" x14ac:dyDescent="0.3">
      <c r="B6" s="538"/>
      <c r="C6" s="538"/>
      <c r="D6" s="538"/>
      <c r="I6" s="539"/>
      <c r="J6" s="539"/>
    </row>
    <row r="7" spans="2:11" ht="76.5" x14ac:dyDescent="0.25">
      <c r="B7" s="540" t="s">
        <v>597</v>
      </c>
      <c r="C7" s="541"/>
      <c r="D7" s="541"/>
      <c r="E7" s="542" t="s">
        <v>462</v>
      </c>
      <c r="F7" s="542" t="s">
        <v>594</v>
      </c>
      <c r="G7" s="542" t="s">
        <v>598</v>
      </c>
      <c r="H7" s="542" t="s">
        <v>599</v>
      </c>
      <c r="I7" s="543" t="s">
        <v>600</v>
      </c>
      <c r="J7" s="544" t="s">
        <v>601</v>
      </c>
      <c r="K7" s="291"/>
    </row>
    <row r="8" spans="2:11" x14ac:dyDescent="0.25">
      <c r="B8" s="545"/>
      <c r="C8" s="546" t="s">
        <v>602</v>
      </c>
      <c r="D8" s="546" t="s">
        <v>603</v>
      </c>
      <c r="E8" s="547"/>
      <c r="F8" s="547"/>
      <c r="G8" s="547"/>
      <c r="H8" s="547"/>
      <c r="I8" s="548"/>
      <c r="J8" s="549"/>
      <c r="K8" s="291"/>
    </row>
    <row r="9" spans="2:11" x14ac:dyDescent="0.25">
      <c r="B9" s="300" t="s">
        <v>604</v>
      </c>
      <c r="C9" s="546">
        <v>39357</v>
      </c>
      <c r="D9" s="546">
        <v>39447</v>
      </c>
      <c r="E9" s="296"/>
      <c r="F9" s="299"/>
      <c r="G9" s="299">
        <f>-G4</f>
        <v>100000</v>
      </c>
      <c r="H9" s="299">
        <f>+(D9-C9)/365*G9*I9</f>
        <v>1232.8767123287671</v>
      </c>
      <c r="I9" s="550">
        <v>0.05</v>
      </c>
      <c r="J9" s="551"/>
      <c r="K9" s="291"/>
    </row>
    <row r="10" spans="2:11" x14ac:dyDescent="0.25">
      <c r="B10" s="300" t="s">
        <v>604</v>
      </c>
      <c r="C10" s="546">
        <v>39447</v>
      </c>
      <c r="D10" s="546">
        <v>39722</v>
      </c>
      <c r="E10" s="296"/>
      <c r="F10" s="299"/>
      <c r="G10" s="299">
        <f>+G9</f>
        <v>100000</v>
      </c>
      <c r="H10" s="299">
        <f>+(D10-C10)/365*G10*I10</f>
        <v>4143.8356164383567</v>
      </c>
      <c r="I10" s="550">
        <v>5.5E-2</v>
      </c>
      <c r="J10" s="551"/>
      <c r="K10" s="291"/>
    </row>
    <row r="11" spans="2:11" x14ac:dyDescent="0.25">
      <c r="B11" s="300" t="s">
        <v>605</v>
      </c>
      <c r="C11" s="546">
        <v>39723</v>
      </c>
      <c r="D11" s="546"/>
      <c r="E11" s="550">
        <v>7.4999999999999997E-2</v>
      </c>
      <c r="F11" s="299">
        <f>-$F$4*E11*(1-J11)</f>
        <v>6150.0000000000009</v>
      </c>
      <c r="G11" s="299">
        <f>+G10-F11</f>
        <v>93850</v>
      </c>
      <c r="H11" s="299"/>
      <c r="I11" s="550"/>
      <c r="J11" s="551">
        <v>0.18</v>
      </c>
      <c r="K11" s="291"/>
    </row>
    <row r="12" spans="2:11" x14ac:dyDescent="0.25">
      <c r="B12" s="300" t="s">
        <v>604</v>
      </c>
      <c r="C12" s="546">
        <v>39723</v>
      </c>
      <c r="D12" s="546">
        <v>39903</v>
      </c>
      <c r="E12" s="550"/>
      <c r="F12" s="299"/>
      <c r="G12" s="299">
        <f>+G11-F12</f>
        <v>93850</v>
      </c>
      <c r="H12" s="299">
        <f>+(D12-C12)/365*G12*I12</f>
        <v>2545.5205479452052</v>
      </c>
      <c r="I12" s="552">
        <v>5.5E-2</v>
      </c>
      <c r="J12" s="551"/>
      <c r="K12" s="291"/>
    </row>
    <row r="13" spans="2:11" ht="14.25" customHeight="1" x14ac:dyDescent="0.25">
      <c r="B13" s="300" t="s">
        <v>604</v>
      </c>
      <c r="C13" s="546">
        <v>39904</v>
      </c>
      <c r="D13" s="546">
        <v>40087</v>
      </c>
      <c r="E13" s="550"/>
      <c r="F13" s="299"/>
      <c r="G13" s="299">
        <f>+G11+F13</f>
        <v>93850</v>
      </c>
      <c r="H13" s="299">
        <f>+(D13-C13)/365*G13*I13</f>
        <v>1882.1424657534249</v>
      </c>
      <c r="I13" s="550">
        <v>0.04</v>
      </c>
      <c r="J13" s="551"/>
      <c r="K13" s="291"/>
    </row>
    <row r="14" spans="2:11" ht="14.25" customHeight="1" x14ac:dyDescent="0.25">
      <c r="B14" s="300" t="s">
        <v>605</v>
      </c>
      <c r="C14" s="546">
        <v>40087</v>
      </c>
      <c r="D14" s="546"/>
      <c r="E14" s="550">
        <v>4.2999999999999997E-2</v>
      </c>
      <c r="F14" s="299">
        <f>-$F$4*E14*(1-J14)</f>
        <v>3526.0000000000005</v>
      </c>
      <c r="G14" s="299">
        <f t="shared" ref="G14:G19" si="0">+G13-F14</f>
        <v>90324</v>
      </c>
      <c r="H14" s="299"/>
      <c r="I14" s="550"/>
      <c r="J14" s="551">
        <v>0.18</v>
      </c>
      <c r="K14" s="291"/>
    </row>
    <row r="15" spans="2:11" ht="12" customHeight="1" x14ac:dyDescent="0.25">
      <c r="B15" s="300" t="s">
        <v>604</v>
      </c>
      <c r="C15" s="546">
        <v>40088</v>
      </c>
      <c r="D15" s="546">
        <v>40452</v>
      </c>
      <c r="E15" s="296"/>
      <c r="F15" s="299"/>
      <c r="G15" s="299">
        <f t="shared" si="0"/>
        <v>90324</v>
      </c>
      <c r="H15" s="299">
        <f>+(D15-C15)/365*G15*I15</f>
        <v>3603.0614794520552</v>
      </c>
      <c r="I15" s="550">
        <v>0.04</v>
      </c>
      <c r="J15" s="302"/>
      <c r="K15" s="291"/>
    </row>
    <row r="16" spans="2:11" x14ac:dyDescent="0.25">
      <c r="B16" s="300" t="s">
        <v>605</v>
      </c>
      <c r="C16" s="546">
        <v>40452</v>
      </c>
      <c r="D16" s="546"/>
      <c r="E16" s="550">
        <v>3.5000000000000003E-2</v>
      </c>
      <c r="F16" s="299">
        <f>-$F$4*E16*(1-J16)</f>
        <v>2835.0000000000005</v>
      </c>
      <c r="G16" s="299">
        <f t="shared" si="0"/>
        <v>87489</v>
      </c>
      <c r="H16" s="299"/>
      <c r="I16" s="553"/>
      <c r="J16" s="551">
        <v>0.19</v>
      </c>
      <c r="K16" s="291"/>
    </row>
    <row r="17" spans="2:14" ht="14.25" customHeight="1" x14ac:dyDescent="0.25">
      <c r="B17" s="300" t="s">
        <v>604</v>
      </c>
      <c r="C17" s="546">
        <v>40453</v>
      </c>
      <c r="D17" s="546">
        <v>40817</v>
      </c>
      <c r="E17" s="296"/>
      <c r="F17" s="299"/>
      <c r="G17" s="299">
        <f t="shared" si="0"/>
        <v>87489</v>
      </c>
      <c r="H17" s="299">
        <f>+(D17-C17)/365*G17*I17</f>
        <v>3489.9721643835614</v>
      </c>
      <c r="I17" s="550">
        <v>0.04</v>
      </c>
      <c r="J17" s="302"/>
      <c r="K17" s="291"/>
    </row>
    <row r="18" spans="2:14" x14ac:dyDescent="0.25">
      <c r="B18" s="300" t="s">
        <v>605</v>
      </c>
      <c r="C18" s="546">
        <v>40817</v>
      </c>
      <c r="D18" s="546"/>
      <c r="E18" s="550">
        <v>0.04</v>
      </c>
      <c r="F18" s="299">
        <f>-$F$4*E18*(1-J18)</f>
        <v>3240</v>
      </c>
      <c r="G18" s="299">
        <f t="shared" si="0"/>
        <v>84249</v>
      </c>
      <c r="H18" s="299"/>
      <c r="I18" s="553"/>
      <c r="J18" s="551">
        <v>0.19</v>
      </c>
      <c r="K18" s="291"/>
    </row>
    <row r="19" spans="2:14" x14ac:dyDescent="0.25">
      <c r="B19" s="300" t="s">
        <v>604</v>
      </c>
      <c r="C19" s="546">
        <v>40818</v>
      </c>
      <c r="D19" s="546">
        <v>41183</v>
      </c>
      <c r="E19" s="296"/>
      <c r="F19" s="299"/>
      <c r="G19" s="299">
        <f t="shared" si="0"/>
        <v>84249</v>
      </c>
      <c r="H19" s="299">
        <f>+(D19-C19)/365*G19*I19</f>
        <v>3369.96</v>
      </c>
      <c r="I19" s="550">
        <v>0.04</v>
      </c>
      <c r="J19" s="302"/>
      <c r="K19" s="291"/>
      <c r="M19" s="289" t="s">
        <v>606</v>
      </c>
    </row>
    <row r="20" spans="2:14" ht="16.5" customHeight="1" x14ac:dyDescent="0.25">
      <c r="B20" s="300" t="s">
        <v>605</v>
      </c>
      <c r="C20" s="554" t="s">
        <v>607</v>
      </c>
      <c r="D20" s="554"/>
      <c r="E20" s="297">
        <v>0.04</v>
      </c>
      <c r="F20" s="299">
        <f>-$F$4*E20*(1-J20)</f>
        <v>3160</v>
      </c>
      <c r="G20" s="299">
        <f>+G19-F20</f>
        <v>81089</v>
      </c>
      <c r="H20" s="299"/>
      <c r="I20" s="553"/>
      <c r="J20" s="551">
        <v>0.21</v>
      </c>
      <c r="K20" s="291"/>
      <c r="M20" s="555">
        <v>2007</v>
      </c>
      <c r="N20" s="556">
        <v>0.05</v>
      </c>
    </row>
    <row r="21" spans="2:14" ht="16.5" customHeight="1" x14ac:dyDescent="0.25">
      <c r="B21" s="300" t="s">
        <v>608</v>
      </c>
      <c r="C21" s="554" t="s">
        <v>609</v>
      </c>
      <c r="D21" s="554"/>
      <c r="E21" s="297"/>
      <c r="F21" s="299"/>
      <c r="G21" s="299"/>
      <c r="H21" s="299"/>
      <c r="I21" s="553"/>
      <c r="J21" s="551"/>
      <c r="K21" s="291"/>
      <c r="M21" s="555">
        <v>2008</v>
      </c>
      <c r="N21" s="556">
        <v>5.5E-2</v>
      </c>
    </row>
    <row r="22" spans="2:14" ht="16.5" customHeight="1" x14ac:dyDescent="0.25">
      <c r="B22" s="300" t="s">
        <v>604</v>
      </c>
      <c r="C22" s="546">
        <v>41184</v>
      </c>
      <c r="D22" s="546">
        <v>41274</v>
      </c>
      <c r="E22" s="297"/>
      <c r="F22" s="299"/>
      <c r="G22" s="299">
        <f>+G20</f>
        <v>81089</v>
      </c>
      <c r="H22" s="299">
        <f>+(D22-C22)/365*G22*I22</f>
        <v>799.78191780821919</v>
      </c>
      <c r="I22" s="550">
        <v>0.04</v>
      </c>
      <c r="J22" s="551"/>
      <c r="K22" s="291"/>
      <c r="M22" s="555" t="s">
        <v>610</v>
      </c>
      <c r="N22" s="556">
        <v>5.5E-2</v>
      </c>
    </row>
    <row r="23" spans="2:14" ht="16.5" customHeight="1" x14ac:dyDescent="0.25">
      <c r="B23" s="300" t="s">
        <v>611</v>
      </c>
      <c r="C23" s="546">
        <f>+D22</f>
        <v>41274</v>
      </c>
      <c r="D23" s="546"/>
      <c r="E23" s="297"/>
      <c r="F23" s="299">
        <f>900*(1-J23)</f>
        <v>711</v>
      </c>
      <c r="G23" s="299">
        <f>G22-F23</f>
        <v>80378</v>
      </c>
      <c r="H23" s="299"/>
      <c r="I23" s="550"/>
      <c r="J23" s="551">
        <v>0.21</v>
      </c>
      <c r="K23" s="291"/>
      <c r="M23" s="555" t="s">
        <v>612</v>
      </c>
      <c r="N23" s="556">
        <f t="shared" ref="N23:N28" si="1">400%/100</f>
        <v>0.04</v>
      </c>
    </row>
    <row r="24" spans="2:14" ht="16.5" customHeight="1" x14ac:dyDescent="0.25">
      <c r="B24" s="300" t="s">
        <v>604</v>
      </c>
      <c r="C24" s="546">
        <v>41275</v>
      </c>
      <c r="D24" s="546">
        <v>41639</v>
      </c>
      <c r="E24" s="297"/>
      <c r="F24" s="299"/>
      <c r="G24" s="299">
        <f t="shared" ref="G24:G31" si="2">G23-F24</f>
        <v>80378</v>
      </c>
      <c r="H24" s="299">
        <f>+(D24-C24)/365*G24*I24</f>
        <v>3206.3114520547947</v>
      </c>
      <c r="I24" s="550">
        <v>0.04</v>
      </c>
      <c r="J24" s="551">
        <v>0.21</v>
      </c>
      <c r="K24" s="291"/>
      <c r="M24" s="555">
        <v>2010</v>
      </c>
      <c r="N24" s="556">
        <f t="shared" si="1"/>
        <v>0.04</v>
      </c>
    </row>
    <row r="25" spans="2:14" ht="16.5" customHeight="1" x14ac:dyDescent="0.25">
      <c r="B25" s="300" t="s">
        <v>611</v>
      </c>
      <c r="C25" s="546">
        <f>+D24</f>
        <v>41639</v>
      </c>
      <c r="D25" s="546"/>
      <c r="E25" s="297"/>
      <c r="F25" s="299">
        <f>800*(1-J25)</f>
        <v>632</v>
      </c>
      <c r="G25" s="299">
        <f t="shared" si="2"/>
        <v>79746</v>
      </c>
      <c r="H25" s="299"/>
      <c r="I25" s="550"/>
      <c r="J25" s="551">
        <v>0.21</v>
      </c>
      <c r="K25" s="291"/>
      <c r="M25" s="555">
        <v>2011</v>
      </c>
      <c r="N25" s="556">
        <f t="shared" si="1"/>
        <v>0.04</v>
      </c>
    </row>
    <row r="26" spans="2:14" ht="16.5" customHeight="1" x14ac:dyDescent="0.25">
      <c r="B26" s="300" t="s">
        <v>604</v>
      </c>
      <c r="C26" s="546">
        <v>41640</v>
      </c>
      <c r="D26" s="546">
        <v>42004</v>
      </c>
      <c r="E26" s="297"/>
      <c r="F26" s="299"/>
      <c r="G26" s="299">
        <f t="shared" si="2"/>
        <v>79746</v>
      </c>
      <c r="H26" s="299">
        <f>+(D26-C26)/365*G26*I26</f>
        <v>3181.1007123287673</v>
      </c>
      <c r="I26" s="550">
        <v>0.04</v>
      </c>
      <c r="J26" s="551">
        <v>0.21</v>
      </c>
      <c r="K26" s="291"/>
      <c r="M26" s="555">
        <v>2012</v>
      </c>
      <c r="N26" s="556">
        <f t="shared" si="1"/>
        <v>0.04</v>
      </c>
    </row>
    <row r="27" spans="2:14" ht="16.5" customHeight="1" x14ac:dyDescent="0.25">
      <c r="B27" s="300" t="s">
        <v>611</v>
      </c>
      <c r="C27" s="546">
        <f>+D26</f>
        <v>42004</v>
      </c>
      <c r="D27" s="546"/>
      <c r="E27" s="297"/>
      <c r="F27" s="299">
        <f>850*(1-J27)</f>
        <v>671.5</v>
      </c>
      <c r="G27" s="299">
        <f t="shared" si="2"/>
        <v>79074.5</v>
      </c>
      <c r="H27" s="299"/>
      <c r="I27" s="550"/>
      <c r="J27" s="551">
        <v>0.21</v>
      </c>
      <c r="K27" s="291"/>
      <c r="M27" s="555">
        <v>2013</v>
      </c>
      <c r="N27" s="556">
        <f t="shared" si="1"/>
        <v>0.04</v>
      </c>
    </row>
    <row r="28" spans="2:14" ht="16.5" customHeight="1" x14ac:dyDescent="0.25">
      <c r="B28" s="300" t="s">
        <v>604</v>
      </c>
      <c r="C28" s="546">
        <v>42005</v>
      </c>
      <c r="D28" s="546">
        <v>42369</v>
      </c>
      <c r="E28" s="297"/>
      <c r="F28" s="299"/>
      <c r="G28" s="299">
        <f t="shared" si="2"/>
        <v>79074.5</v>
      </c>
      <c r="H28" s="299">
        <f>+(D28-C28)/365*G28*I28</f>
        <v>2760.0250136986306</v>
      </c>
      <c r="I28" s="550">
        <v>3.5000000000000003E-2</v>
      </c>
      <c r="J28" s="551">
        <v>0.21</v>
      </c>
      <c r="K28" s="291"/>
      <c r="M28" s="555">
        <v>2014</v>
      </c>
      <c r="N28" s="556">
        <f t="shared" si="1"/>
        <v>0.04</v>
      </c>
    </row>
    <row r="29" spans="2:14" ht="16.5" customHeight="1" x14ac:dyDescent="0.25">
      <c r="B29" s="300" t="s">
        <v>611</v>
      </c>
      <c r="C29" s="546">
        <f>+D28</f>
        <v>42369</v>
      </c>
      <c r="D29" s="546"/>
      <c r="E29" s="297"/>
      <c r="F29" s="299">
        <f>850*(1-J29)</f>
        <v>671.5</v>
      </c>
      <c r="G29" s="299">
        <f t="shared" si="2"/>
        <v>78403</v>
      </c>
      <c r="H29" s="299"/>
      <c r="I29" s="550"/>
      <c r="J29" s="551">
        <v>0.21</v>
      </c>
      <c r="K29" s="291"/>
      <c r="M29" s="555">
        <v>2015</v>
      </c>
      <c r="N29" s="556">
        <v>3.5000000000000003E-2</v>
      </c>
    </row>
    <row r="30" spans="2:14" ht="16.5" customHeight="1" x14ac:dyDescent="0.25">
      <c r="B30" s="300" t="s">
        <v>604</v>
      </c>
      <c r="C30" s="546">
        <v>42370</v>
      </c>
      <c r="D30" s="546">
        <v>42735</v>
      </c>
      <c r="E30" s="297"/>
      <c r="F30" s="299"/>
      <c r="G30" s="299">
        <f t="shared" si="2"/>
        <v>78403</v>
      </c>
      <c r="H30" s="299">
        <f>+(D30-C30)/365*G30*I30</f>
        <v>2352.0899999999997</v>
      </c>
      <c r="I30" s="550">
        <v>0.03</v>
      </c>
      <c r="J30" s="551">
        <v>0.21</v>
      </c>
      <c r="K30" s="291"/>
      <c r="M30" s="555">
        <v>2016</v>
      </c>
      <c r="N30" s="556">
        <v>0.03</v>
      </c>
    </row>
    <row r="31" spans="2:14" ht="16.5" customHeight="1" x14ac:dyDescent="0.25">
      <c r="B31" s="300" t="s">
        <v>611</v>
      </c>
      <c r="C31" s="546">
        <f>+D30</f>
        <v>42735</v>
      </c>
      <c r="D31" s="546"/>
      <c r="E31" s="297"/>
      <c r="F31" s="299">
        <f>900*(1-J31)</f>
        <v>711</v>
      </c>
      <c r="G31" s="299">
        <f t="shared" si="2"/>
        <v>77692</v>
      </c>
      <c r="H31" s="299"/>
      <c r="I31" s="550"/>
      <c r="J31" s="551">
        <v>0.21</v>
      </c>
      <c r="K31" s="291"/>
      <c r="M31" s="555">
        <v>2017</v>
      </c>
      <c r="N31" s="556">
        <v>0.03</v>
      </c>
    </row>
    <row r="32" spans="2:14" ht="16.5" customHeight="1" x14ac:dyDescent="0.25">
      <c r="B32" s="300" t="s">
        <v>604</v>
      </c>
      <c r="C32" s="554">
        <v>42736</v>
      </c>
      <c r="D32" s="554">
        <v>42978</v>
      </c>
      <c r="E32" s="297"/>
      <c r="F32" s="299"/>
      <c r="G32" s="299">
        <f>+G31</f>
        <v>77692</v>
      </c>
      <c r="H32" s="299">
        <f>+(D32-C32)/365*G32*I32</f>
        <v>1545.325808219178</v>
      </c>
      <c r="I32" s="550">
        <v>0.03</v>
      </c>
      <c r="J32" s="551"/>
      <c r="K32" s="291"/>
    </row>
    <row r="33" spans="2:14" ht="16.5" customHeight="1" x14ac:dyDescent="0.25">
      <c r="B33" s="300"/>
      <c r="C33" s="554"/>
      <c r="D33" s="554"/>
      <c r="E33" s="297"/>
      <c r="F33" s="299"/>
      <c r="G33" s="299"/>
      <c r="H33" s="299"/>
      <c r="I33" s="550"/>
      <c r="J33" s="551"/>
      <c r="K33" s="291"/>
    </row>
    <row r="34" spans="2:14" ht="16.5" customHeight="1" x14ac:dyDescent="0.25">
      <c r="B34" s="300"/>
      <c r="C34" s="554"/>
      <c r="D34" s="554"/>
      <c r="E34" s="297"/>
      <c r="F34" s="299"/>
      <c r="G34" s="299"/>
      <c r="H34" s="299"/>
      <c r="I34" s="550"/>
      <c r="J34" s="551"/>
      <c r="K34" s="291"/>
      <c r="M34" s="530"/>
      <c r="N34" s="289"/>
    </row>
    <row r="35" spans="2:14" ht="16.5" customHeight="1" thickBot="1" x14ac:dyDescent="0.3">
      <c r="B35" s="557"/>
      <c r="C35" s="558"/>
      <c r="D35" s="558"/>
      <c r="E35" s="559"/>
      <c r="F35" s="560"/>
      <c r="G35" s="560"/>
      <c r="H35" s="560">
        <f>SUM(H9:H34)</f>
        <v>34112.003890410961</v>
      </c>
      <c r="I35" s="561"/>
      <c r="J35" s="562"/>
      <c r="K35" s="291"/>
      <c r="M35" s="530"/>
      <c r="N35" s="289"/>
    </row>
    <row r="36" spans="2:14" ht="16.5" customHeight="1" thickBot="1" x14ac:dyDescent="0.3">
      <c r="C36" s="563"/>
      <c r="D36" s="563"/>
      <c r="E36" s="294"/>
      <c r="I36" s="539"/>
      <c r="J36" s="539"/>
      <c r="K36" s="294"/>
      <c r="M36" s="530"/>
      <c r="N36" s="289"/>
    </row>
    <row r="37" spans="2:14" x14ac:dyDescent="0.25">
      <c r="B37" s="325" t="s">
        <v>613</v>
      </c>
      <c r="C37" s="303"/>
      <c r="D37" s="564" t="s">
        <v>252</v>
      </c>
      <c r="E37" s="565" t="s">
        <v>462</v>
      </c>
      <c r="F37" s="565" t="s">
        <v>614</v>
      </c>
      <c r="G37" s="565" t="s">
        <v>252</v>
      </c>
      <c r="H37" s="566" t="s">
        <v>615</v>
      </c>
      <c r="I37" s="539"/>
      <c r="J37" s="539"/>
      <c r="K37" s="294"/>
      <c r="M37" s="530"/>
      <c r="N37" s="289"/>
    </row>
    <row r="38" spans="2:14" x14ac:dyDescent="0.25">
      <c r="B38" s="309"/>
      <c r="C38" s="296"/>
      <c r="D38" s="567" t="s">
        <v>616</v>
      </c>
      <c r="E38" s="568"/>
      <c r="F38" s="568"/>
      <c r="G38" s="568" t="s">
        <v>617</v>
      </c>
      <c r="H38" s="569" t="s">
        <v>618</v>
      </c>
      <c r="I38" s="539"/>
      <c r="J38" s="539"/>
      <c r="K38" s="294"/>
      <c r="M38" s="530"/>
      <c r="N38" s="289"/>
    </row>
    <row r="39" spans="2:14" x14ac:dyDescent="0.25">
      <c r="B39" s="309"/>
      <c r="C39" s="296"/>
      <c r="D39" s="567" t="s">
        <v>619</v>
      </c>
      <c r="E39" s="296"/>
      <c r="F39" s="568"/>
      <c r="G39" s="568"/>
      <c r="H39" s="569"/>
      <c r="I39" s="539"/>
      <c r="J39" s="539"/>
      <c r="K39" s="294"/>
      <c r="M39" s="530"/>
      <c r="N39" s="289"/>
    </row>
    <row r="40" spans="2:14" x14ac:dyDescent="0.25">
      <c r="B40" s="300" t="s">
        <v>620</v>
      </c>
      <c r="C40" s="546">
        <v>39722</v>
      </c>
      <c r="D40" s="299">
        <f>+E40*F40</f>
        <v>7500</v>
      </c>
      <c r="E40" s="550">
        <f>+E11</f>
        <v>7.4999999999999997E-2</v>
      </c>
      <c r="F40" s="299">
        <f>-$F$4</f>
        <v>100000</v>
      </c>
      <c r="G40" s="299"/>
      <c r="H40" s="302"/>
      <c r="I40" s="539"/>
      <c r="J40" s="539"/>
      <c r="K40" s="294"/>
      <c r="M40" s="530"/>
      <c r="N40" s="289"/>
    </row>
    <row r="41" spans="2:14" x14ac:dyDescent="0.25">
      <c r="B41" s="300" t="s">
        <v>620</v>
      </c>
      <c r="C41" s="546">
        <v>40087</v>
      </c>
      <c r="D41" s="299">
        <f t="shared" ref="D41:D44" si="3">+E41*F41</f>
        <v>4300</v>
      </c>
      <c r="E41" s="550">
        <f>+E14</f>
        <v>4.2999999999999997E-2</v>
      </c>
      <c r="F41" s="299">
        <f t="shared" ref="F41:F44" si="4">-$F$4</f>
        <v>100000</v>
      </c>
      <c r="G41" s="299"/>
      <c r="H41" s="302"/>
      <c r="I41" s="539"/>
      <c r="J41" s="539"/>
      <c r="K41" s="294"/>
      <c r="M41" s="530"/>
      <c r="N41" s="289"/>
    </row>
    <row r="42" spans="2:14" x14ac:dyDescent="0.25">
      <c r="B42" s="300" t="s">
        <v>620</v>
      </c>
      <c r="C42" s="546">
        <v>40452</v>
      </c>
      <c r="D42" s="299">
        <f t="shared" si="3"/>
        <v>3500.0000000000005</v>
      </c>
      <c r="E42" s="550">
        <f>+E16</f>
        <v>3.5000000000000003E-2</v>
      </c>
      <c r="F42" s="299">
        <f t="shared" si="4"/>
        <v>100000</v>
      </c>
      <c r="G42" s="299"/>
      <c r="H42" s="302"/>
      <c r="I42" s="539"/>
      <c r="J42" s="539"/>
      <c r="K42" s="294"/>
      <c r="M42" s="530"/>
      <c r="N42" s="289"/>
    </row>
    <row r="43" spans="2:14" x14ac:dyDescent="0.25">
      <c r="B43" s="300" t="s">
        <v>620</v>
      </c>
      <c r="C43" s="546">
        <v>40817</v>
      </c>
      <c r="D43" s="299">
        <f t="shared" si="3"/>
        <v>4000</v>
      </c>
      <c r="E43" s="550">
        <f>+E18</f>
        <v>0.04</v>
      </c>
      <c r="F43" s="299">
        <f t="shared" si="4"/>
        <v>100000</v>
      </c>
      <c r="G43" s="299"/>
      <c r="H43" s="302"/>
      <c r="I43" s="539"/>
      <c r="J43" s="539"/>
      <c r="K43" s="294"/>
      <c r="M43" s="530"/>
      <c r="N43" s="289"/>
    </row>
    <row r="44" spans="2:14" x14ac:dyDescent="0.25">
      <c r="B44" s="300" t="s">
        <v>620</v>
      </c>
      <c r="C44" s="546">
        <v>41183</v>
      </c>
      <c r="D44" s="299">
        <f t="shared" si="3"/>
        <v>4000</v>
      </c>
      <c r="E44" s="550">
        <f>+E20</f>
        <v>0.04</v>
      </c>
      <c r="F44" s="299">
        <f t="shared" si="4"/>
        <v>100000</v>
      </c>
      <c r="G44" s="299"/>
      <c r="H44" s="302"/>
      <c r="I44" s="539"/>
      <c r="J44" s="539"/>
      <c r="K44" s="294"/>
      <c r="M44" s="530"/>
      <c r="N44" s="289"/>
    </row>
    <row r="45" spans="2:14" x14ac:dyDescent="0.25">
      <c r="B45" s="300" t="s">
        <v>621</v>
      </c>
      <c r="C45" s="546">
        <v>41274</v>
      </c>
      <c r="D45" s="299">
        <v>900</v>
      </c>
      <c r="E45" s="550"/>
      <c r="F45" s="299"/>
      <c r="G45" s="299"/>
      <c r="H45" s="302"/>
      <c r="I45" s="539"/>
      <c r="J45" s="539"/>
      <c r="K45" s="294"/>
      <c r="M45" s="530"/>
      <c r="N45" s="289"/>
    </row>
    <row r="46" spans="2:14" x14ac:dyDescent="0.25">
      <c r="B46" s="300" t="s">
        <v>621</v>
      </c>
      <c r="C46" s="546">
        <v>41639</v>
      </c>
      <c r="D46" s="299">
        <v>800</v>
      </c>
      <c r="E46" s="550"/>
      <c r="F46" s="299"/>
      <c r="G46" s="299"/>
      <c r="H46" s="302"/>
      <c r="I46" s="539"/>
      <c r="J46" s="539"/>
      <c r="K46" s="294"/>
      <c r="M46" s="530"/>
      <c r="N46" s="289"/>
    </row>
    <row r="47" spans="2:14" x14ac:dyDescent="0.25">
      <c r="B47" s="300" t="s">
        <v>621</v>
      </c>
      <c r="C47" s="546">
        <v>42004</v>
      </c>
      <c r="D47" s="299">
        <v>850</v>
      </c>
      <c r="E47" s="550"/>
      <c r="F47" s="299"/>
      <c r="G47" s="299"/>
      <c r="H47" s="302"/>
      <c r="I47" s="539"/>
      <c r="J47" s="539"/>
      <c r="K47" s="294"/>
      <c r="M47" s="530"/>
      <c r="N47" s="289"/>
    </row>
    <row r="48" spans="2:14" x14ac:dyDescent="0.25">
      <c r="B48" s="300" t="s">
        <v>621</v>
      </c>
      <c r="C48" s="546">
        <v>42369</v>
      </c>
      <c r="D48" s="299">
        <v>850</v>
      </c>
      <c r="E48" s="550"/>
      <c r="F48" s="299"/>
      <c r="G48" s="299"/>
      <c r="H48" s="302"/>
      <c r="I48" s="539"/>
      <c r="J48" s="539"/>
      <c r="K48" s="294"/>
      <c r="M48" s="530"/>
      <c r="N48" s="289"/>
    </row>
    <row r="49" spans="2:14" x14ac:dyDescent="0.25">
      <c r="B49" s="300" t="s">
        <v>621</v>
      </c>
      <c r="C49" s="546">
        <v>42735</v>
      </c>
      <c r="D49" s="299">
        <v>900</v>
      </c>
      <c r="E49" s="550"/>
      <c r="F49" s="299"/>
      <c r="G49" s="299"/>
      <c r="H49" s="302"/>
      <c r="I49" s="539"/>
      <c r="J49" s="539"/>
      <c r="K49" s="294"/>
      <c r="M49" s="530"/>
      <c r="N49" s="289"/>
    </row>
    <row r="50" spans="2:14" ht="16.5" thickBot="1" x14ac:dyDescent="0.3">
      <c r="B50" s="557"/>
      <c r="C50" s="570"/>
      <c r="D50" s="560">
        <f>SUM(D40:D49)</f>
        <v>27600</v>
      </c>
      <c r="E50" s="570"/>
      <c r="F50" s="560"/>
      <c r="G50" s="560">
        <f>+H35</f>
        <v>34112.003890410961</v>
      </c>
      <c r="H50" s="571">
        <f>+G50-D50</f>
        <v>6512.0038904109606</v>
      </c>
      <c r="I50" s="539"/>
      <c r="J50" s="539"/>
      <c r="K50" s="294"/>
      <c r="M50" s="530"/>
      <c r="N50" s="289"/>
    </row>
    <row r="51" spans="2:14" x14ac:dyDescent="0.25">
      <c r="H51" s="289"/>
      <c r="I51" s="539"/>
      <c r="J51" s="539"/>
      <c r="K51" s="294"/>
      <c r="N51" s="289"/>
    </row>
    <row r="52" spans="2:14" x14ac:dyDescent="0.25">
      <c r="H52" s="289"/>
      <c r="N52" s="289"/>
    </row>
    <row r="53" spans="2:14" ht="16.5" thickBot="1" x14ac:dyDescent="0.3">
      <c r="H53" s="289"/>
      <c r="N53" s="289"/>
    </row>
    <row r="54" spans="2:14" x14ac:dyDescent="0.25">
      <c r="B54" s="325" t="s">
        <v>622</v>
      </c>
      <c r="C54" s="303"/>
      <c r="D54" s="564" t="s">
        <v>623</v>
      </c>
      <c r="E54" s="565" t="s">
        <v>462</v>
      </c>
      <c r="F54" s="566" t="s">
        <v>614</v>
      </c>
      <c r="H54" s="289"/>
      <c r="J54" s="530"/>
      <c r="N54" s="289"/>
    </row>
    <row r="55" spans="2:14" x14ac:dyDescent="0.25">
      <c r="B55" s="309" t="s">
        <v>624</v>
      </c>
      <c r="C55" s="296"/>
      <c r="D55" s="567"/>
      <c r="E55" s="568"/>
      <c r="F55" s="572"/>
      <c r="H55" s="289"/>
      <c r="J55" s="530"/>
      <c r="N55" s="289"/>
    </row>
    <row r="56" spans="2:14" x14ac:dyDescent="0.25">
      <c r="B56" s="300" t="s">
        <v>620</v>
      </c>
      <c r="C56" s="546">
        <v>39722</v>
      </c>
      <c r="D56" s="299">
        <f>+D40</f>
        <v>7500</v>
      </c>
      <c r="E56" s="297">
        <f t="shared" ref="E56:F56" si="5">+E40</f>
        <v>7.4999999999999997E-2</v>
      </c>
      <c r="F56" s="306">
        <f t="shared" si="5"/>
        <v>100000</v>
      </c>
      <c r="H56" s="289"/>
      <c r="J56" s="530"/>
      <c r="N56" s="289"/>
    </row>
    <row r="57" spans="2:14" x14ac:dyDescent="0.25">
      <c r="B57" s="300" t="s">
        <v>620</v>
      </c>
      <c r="C57" s="546">
        <v>40087</v>
      </c>
      <c r="D57" s="299">
        <f t="shared" ref="D57:F60" si="6">+D41</f>
        <v>4300</v>
      </c>
      <c r="E57" s="297">
        <f t="shared" si="6"/>
        <v>4.2999999999999997E-2</v>
      </c>
      <c r="F57" s="306">
        <f t="shared" si="6"/>
        <v>100000</v>
      </c>
      <c r="H57" s="289"/>
      <c r="J57" s="530"/>
      <c r="N57" s="289"/>
    </row>
    <row r="58" spans="2:14" x14ac:dyDescent="0.25">
      <c r="B58" s="300" t="s">
        <v>620</v>
      </c>
      <c r="C58" s="546">
        <v>40452</v>
      </c>
      <c r="D58" s="299">
        <f t="shared" si="6"/>
        <v>3500.0000000000005</v>
      </c>
      <c r="E58" s="297">
        <f t="shared" si="6"/>
        <v>3.5000000000000003E-2</v>
      </c>
      <c r="F58" s="306">
        <f t="shared" si="6"/>
        <v>100000</v>
      </c>
      <c r="H58" s="289"/>
      <c r="J58" s="530"/>
      <c r="N58" s="289"/>
    </row>
    <row r="59" spans="2:14" x14ac:dyDescent="0.25">
      <c r="B59" s="300" t="s">
        <v>620</v>
      </c>
      <c r="C59" s="546">
        <v>40817</v>
      </c>
      <c r="D59" s="299">
        <f t="shared" si="6"/>
        <v>4000</v>
      </c>
      <c r="E59" s="297">
        <f t="shared" si="6"/>
        <v>0.04</v>
      </c>
      <c r="F59" s="306">
        <f t="shared" si="6"/>
        <v>100000</v>
      </c>
      <c r="H59" s="289"/>
      <c r="J59" s="530"/>
      <c r="N59" s="289"/>
    </row>
    <row r="60" spans="2:14" x14ac:dyDescent="0.25">
      <c r="B60" s="300" t="s">
        <v>620</v>
      </c>
      <c r="C60" s="546">
        <v>41183</v>
      </c>
      <c r="D60" s="299">
        <f t="shared" si="6"/>
        <v>4000</v>
      </c>
      <c r="E60" s="297">
        <f t="shared" si="6"/>
        <v>0.04</v>
      </c>
      <c r="F60" s="306">
        <f t="shared" si="6"/>
        <v>100000</v>
      </c>
      <c r="H60" s="289"/>
      <c r="J60" s="530"/>
      <c r="N60" s="289"/>
    </row>
    <row r="61" spans="2:14" x14ac:dyDescent="0.25">
      <c r="B61" s="300" t="s">
        <v>621</v>
      </c>
      <c r="C61" s="546">
        <v>41274</v>
      </c>
      <c r="D61" s="299">
        <v>900</v>
      </c>
      <c r="E61" s="550"/>
      <c r="F61" s="306"/>
      <c r="H61" s="289"/>
      <c r="J61" s="530"/>
      <c r="N61" s="289"/>
    </row>
    <row r="62" spans="2:14" x14ac:dyDescent="0.25">
      <c r="B62" s="300" t="s">
        <v>621</v>
      </c>
      <c r="C62" s="546">
        <v>41639</v>
      </c>
      <c r="D62" s="299">
        <v>800</v>
      </c>
      <c r="E62" s="550"/>
      <c r="F62" s="306"/>
      <c r="H62" s="289"/>
      <c r="J62" s="530"/>
      <c r="N62" s="289"/>
    </row>
    <row r="63" spans="2:14" x14ac:dyDescent="0.25">
      <c r="B63" s="300" t="s">
        <v>621</v>
      </c>
      <c r="C63" s="546">
        <v>42004</v>
      </c>
      <c r="D63" s="299">
        <v>850</v>
      </c>
      <c r="E63" s="550"/>
      <c r="F63" s="306"/>
      <c r="H63" s="289"/>
      <c r="J63" s="530"/>
      <c r="N63" s="289"/>
    </row>
    <row r="64" spans="2:14" x14ac:dyDescent="0.25">
      <c r="B64" s="300" t="s">
        <v>621</v>
      </c>
      <c r="C64" s="546">
        <v>42369</v>
      </c>
      <c r="D64" s="299">
        <v>850</v>
      </c>
      <c r="E64" s="550"/>
      <c r="F64" s="306"/>
      <c r="H64" s="289"/>
      <c r="J64" s="530"/>
    </row>
    <row r="65" spans="2:10" x14ac:dyDescent="0.25">
      <c r="B65" s="300" t="s">
        <v>621</v>
      </c>
      <c r="C65" s="546">
        <v>42735</v>
      </c>
      <c r="D65" s="299">
        <v>900</v>
      </c>
      <c r="E65" s="550"/>
      <c r="F65" s="306"/>
      <c r="H65" s="289"/>
      <c r="J65" s="530"/>
    </row>
    <row r="66" spans="2:10" ht="16.5" thickBot="1" x14ac:dyDescent="0.3">
      <c r="B66" s="573"/>
      <c r="C66" s="574"/>
      <c r="D66" s="575">
        <f>SUM(D56:D65)</f>
        <v>27600</v>
      </c>
      <c r="E66" s="574"/>
      <c r="F66" s="576"/>
      <c r="H66" s="289"/>
      <c r="J66" s="530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workbookViewId="0">
      <selection activeCell="J24" sqref="J24"/>
    </sheetView>
  </sheetViews>
  <sheetFormatPr baseColWidth="10" defaultColWidth="11.42578125" defaultRowHeight="14.25" x14ac:dyDescent="0.2"/>
  <cols>
    <col min="1" max="1" width="18.28515625" style="145" customWidth="1"/>
    <col min="2" max="2" width="12.28515625" style="139" bestFit="1" customWidth="1"/>
    <col min="3" max="3" width="11.140625" style="139" customWidth="1"/>
    <col min="4" max="6" width="10.28515625" style="139" customWidth="1"/>
    <col min="7" max="8" width="11.42578125" style="139"/>
    <col min="9" max="9" width="10.7109375" style="139" customWidth="1"/>
    <col min="10" max="10" width="20.28515625" style="139" customWidth="1"/>
    <col min="11" max="11" width="14" style="140" customWidth="1"/>
    <col min="12" max="13" width="11.42578125" style="139"/>
    <col min="14" max="14" width="13" style="139" customWidth="1"/>
    <col min="15" max="16384" width="11.42578125" style="139"/>
  </cols>
  <sheetData>
    <row r="1" spans="1:14" x14ac:dyDescent="0.2">
      <c r="A1" s="138" t="s">
        <v>625</v>
      </c>
      <c r="C1" s="140"/>
      <c r="J1" s="139" t="s">
        <v>626</v>
      </c>
      <c r="K1" s="140" t="s">
        <v>627</v>
      </c>
      <c r="L1" s="141" t="s">
        <v>628</v>
      </c>
      <c r="M1" s="141" t="s">
        <v>629</v>
      </c>
      <c r="N1" s="141" t="s">
        <v>630</v>
      </c>
    </row>
    <row r="2" spans="1:14" x14ac:dyDescent="0.2">
      <c r="A2" s="138"/>
      <c r="C2" s="140"/>
      <c r="D2" s="141" t="s">
        <v>631</v>
      </c>
      <c r="E2" s="141" t="s">
        <v>631</v>
      </c>
      <c r="I2" s="139" t="s">
        <v>632</v>
      </c>
      <c r="J2" s="139" t="s">
        <v>633</v>
      </c>
      <c r="K2" s="140">
        <v>200000</v>
      </c>
      <c r="L2" s="142">
        <v>43281</v>
      </c>
      <c r="M2" s="143">
        <v>0.03</v>
      </c>
      <c r="N2" s="144">
        <v>5.0000000000000001E-3</v>
      </c>
    </row>
    <row r="3" spans="1:14" x14ac:dyDescent="0.2">
      <c r="C3" s="140"/>
      <c r="D3" s="146" t="s">
        <v>130</v>
      </c>
      <c r="E3" s="146" t="s">
        <v>634</v>
      </c>
      <c r="I3" s="139" t="s">
        <v>635</v>
      </c>
      <c r="J3" s="139" t="s">
        <v>636</v>
      </c>
      <c r="K3" s="140">
        <v>500000</v>
      </c>
      <c r="L3" s="142">
        <v>43373</v>
      </c>
      <c r="M3" s="143">
        <v>2.1999999999999999E-2</v>
      </c>
    </row>
    <row r="4" spans="1:14" x14ac:dyDescent="0.2">
      <c r="A4" s="145" t="s">
        <v>637</v>
      </c>
      <c r="C4" s="140">
        <v>5280340</v>
      </c>
      <c r="D4" s="143"/>
      <c r="I4" s="139" t="s">
        <v>638</v>
      </c>
      <c r="J4" s="139" t="s">
        <v>639</v>
      </c>
      <c r="K4" s="140">
        <v>800000</v>
      </c>
      <c r="L4" s="142">
        <v>44621</v>
      </c>
      <c r="M4" s="143">
        <v>1.9699999999999999E-2</v>
      </c>
    </row>
    <row r="5" spans="1:14" x14ac:dyDescent="0.2">
      <c r="A5" s="145" t="s">
        <v>640</v>
      </c>
      <c r="C5" s="140">
        <v>2597007</v>
      </c>
      <c r="D5" s="144">
        <f>+C5/$C$4</f>
        <v>0.49182571576830281</v>
      </c>
    </row>
    <row r="6" spans="1:14" x14ac:dyDescent="0.2">
      <c r="A6" s="147" t="s">
        <v>641</v>
      </c>
      <c r="B6" s="148"/>
      <c r="C6" s="149">
        <f>+C4-C5</f>
        <v>2683333</v>
      </c>
      <c r="D6" s="150">
        <f>+C6/$C$4</f>
        <v>0.50817428423169719</v>
      </c>
      <c r="E6" s="150">
        <f>+C6/$C$5</f>
        <v>1.0332405727054259</v>
      </c>
    </row>
    <row r="7" spans="1:14" x14ac:dyDescent="0.2">
      <c r="A7" s="145" t="s">
        <v>634</v>
      </c>
      <c r="C7" s="140"/>
      <c r="D7" s="143"/>
    </row>
    <row r="8" spans="1:14" x14ac:dyDescent="0.2">
      <c r="A8" s="145" t="s">
        <v>642</v>
      </c>
      <c r="C8" s="140">
        <v>925844</v>
      </c>
      <c r="D8" s="144">
        <f t="shared" ref="D8:D13" si="0">+C8/$C$4</f>
        <v>0.17533795172280572</v>
      </c>
      <c r="E8" s="144">
        <f t="shared" ref="E8:E13" si="1">+C8/$C$5</f>
        <v>0.35650423737787384</v>
      </c>
    </row>
    <row r="9" spans="1:14" x14ac:dyDescent="0.2">
      <c r="A9" s="145" t="s">
        <v>643</v>
      </c>
      <c r="C9" s="140">
        <v>735369</v>
      </c>
      <c r="D9" s="144">
        <f t="shared" si="0"/>
        <v>0.13926546396633549</v>
      </c>
      <c r="E9" s="144">
        <f t="shared" si="1"/>
        <v>0.28316019171299883</v>
      </c>
    </row>
    <row r="10" spans="1:14" x14ac:dyDescent="0.2">
      <c r="A10" s="145" t="s">
        <v>644</v>
      </c>
      <c r="C10" s="140">
        <v>381224</v>
      </c>
      <c r="D10" s="144">
        <f t="shared" si="0"/>
        <v>7.2196866110894375E-2</v>
      </c>
      <c r="E10" s="144">
        <f t="shared" si="1"/>
        <v>0.14679359739885184</v>
      </c>
    </row>
    <row r="11" spans="1:14" x14ac:dyDescent="0.2">
      <c r="A11" s="145" t="s">
        <v>645</v>
      </c>
      <c r="C11" s="140">
        <v>190333</v>
      </c>
      <c r="D11" s="144">
        <f t="shared" si="0"/>
        <v>3.6045595548771479E-2</v>
      </c>
      <c r="E11" s="144">
        <f t="shared" si="1"/>
        <v>7.3289367337092279E-2</v>
      </c>
    </row>
    <row r="12" spans="1:14" x14ac:dyDescent="0.2">
      <c r="A12" s="145" t="s">
        <v>646</v>
      </c>
      <c r="C12" s="140">
        <v>46252</v>
      </c>
      <c r="D12" s="144">
        <f t="shared" si="0"/>
        <v>8.7592844400171208E-3</v>
      </c>
      <c r="E12" s="144">
        <f t="shared" si="1"/>
        <v>1.7809732511310135E-2</v>
      </c>
    </row>
    <row r="13" spans="1:14" x14ac:dyDescent="0.2">
      <c r="A13" s="147" t="s">
        <v>647</v>
      </c>
      <c r="B13" s="148"/>
      <c r="C13" s="149">
        <f>+C6-SUM(C8:C12)</f>
        <v>404311</v>
      </c>
      <c r="D13" s="150">
        <f t="shared" si="0"/>
        <v>7.6569122442872992E-2</v>
      </c>
      <c r="E13" s="150">
        <f t="shared" si="1"/>
        <v>0.15568344636729897</v>
      </c>
    </row>
    <row r="14" spans="1:14" x14ac:dyDescent="0.2">
      <c r="A14" s="145" t="s">
        <v>648</v>
      </c>
      <c r="C14" s="140">
        <v>19866</v>
      </c>
      <c r="D14" s="143"/>
    </row>
    <row r="15" spans="1:14" x14ac:dyDescent="0.2">
      <c r="A15" s="147" t="s">
        <v>412</v>
      </c>
      <c r="B15" s="148"/>
      <c r="C15" s="149">
        <f>-C14</f>
        <v>-19866</v>
      </c>
      <c r="D15" s="151"/>
      <c r="E15" s="148"/>
    </row>
    <row r="16" spans="1:14" x14ac:dyDescent="0.2">
      <c r="A16" s="147" t="s">
        <v>649</v>
      </c>
      <c r="B16" s="148"/>
      <c r="C16" s="149">
        <f>+C13+C15</f>
        <v>384445</v>
      </c>
      <c r="D16" s="151"/>
      <c r="E16" s="148"/>
    </row>
    <row r="17" spans="1:6" x14ac:dyDescent="0.2">
      <c r="A17" s="145" t="s">
        <v>650</v>
      </c>
      <c r="C17" s="140">
        <f>+C16*0.25</f>
        <v>96111.25</v>
      </c>
    </row>
    <row r="18" spans="1:6" x14ac:dyDescent="0.2">
      <c r="A18" s="147" t="s">
        <v>651</v>
      </c>
      <c r="B18" s="148"/>
      <c r="C18" s="149">
        <f>+C16-C17</f>
        <v>288333.75</v>
      </c>
      <c r="D18" s="151"/>
      <c r="E18" s="148"/>
    </row>
    <row r="20" spans="1:6" ht="42.75" x14ac:dyDescent="0.2">
      <c r="A20" s="152" t="s">
        <v>652</v>
      </c>
      <c r="B20" s="153" t="s">
        <v>653</v>
      </c>
      <c r="C20" s="153" t="s">
        <v>654</v>
      </c>
      <c r="D20" s="153" t="s">
        <v>655</v>
      </c>
      <c r="E20" s="153" t="s">
        <v>656</v>
      </c>
      <c r="F20" s="153" t="s">
        <v>657</v>
      </c>
    </row>
    <row r="21" spans="1:6" x14ac:dyDescent="0.2">
      <c r="A21" s="154" t="s">
        <v>658</v>
      </c>
      <c r="B21" s="155">
        <v>594084.77999999991</v>
      </c>
      <c r="C21" s="155">
        <v>385520</v>
      </c>
      <c r="D21" s="155">
        <f>+B21-C21</f>
        <v>208564.77999999991</v>
      </c>
      <c r="E21" s="156">
        <f>+D21/B21</f>
        <v>0.35106905112095271</v>
      </c>
      <c r="F21" s="156">
        <f>+D21/C21</f>
        <v>0.54099600539531001</v>
      </c>
    </row>
    <row r="22" spans="1:6" x14ac:dyDescent="0.2">
      <c r="A22" s="154" t="s">
        <v>659</v>
      </c>
      <c r="B22" s="155">
        <v>256435.99</v>
      </c>
      <c r="C22" s="155">
        <v>165779</v>
      </c>
      <c r="D22" s="155">
        <f t="shared" ref="D22:D33" si="2">+B22-C22</f>
        <v>90656.989999999991</v>
      </c>
      <c r="E22" s="156">
        <f t="shared" ref="E22:E34" si="3">+D22/B22</f>
        <v>0.35352678069876226</v>
      </c>
      <c r="F22" s="156">
        <f t="shared" ref="F22:F34" si="4">+D22/C22</f>
        <v>0.54685448699774997</v>
      </c>
    </row>
    <row r="23" spans="1:6" x14ac:dyDescent="0.2">
      <c r="A23" s="154" t="s">
        <v>660</v>
      </c>
      <c r="B23" s="155">
        <v>210015.55</v>
      </c>
      <c r="C23" s="155">
        <v>131663.95000000001</v>
      </c>
      <c r="D23" s="155">
        <f t="shared" si="2"/>
        <v>78351.599999999977</v>
      </c>
      <c r="E23" s="156">
        <f t="shared" si="3"/>
        <v>0.37307523181021585</v>
      </c>
      <c r="F23" s="156">
        <f t="shared" si="4"/>
        <v>0.59508772143020139</v>
      </c>
    </row>
    <row r="24" spans="1:6" x14ac:dyDescent="0.2">
      <c r="A24" s="154" t="s">
        <v>661</v>
      </c>
      <c r="B24" s="155">
        <v>190797.88</v>
      </c>
      <c r="C24" s="155">
        <v>127651.96</v>
      </c>
      <c r="D24" s="155">
        <f t="shared" si="2"/>
        <v>63145.919999999998</v>
      </c>
      <c r="E24" s="156">
        <f t="shared" si="3"/>
        <v>0.33095713642101265</v>
      </c>
      <c r="F24" s="156">
        <f t="shared" si="4"/>
        <v>0.49467254556843465</v>
      </c>
    </row>
    <row r="25" spans="1:6" x14ac:dyDescent="0.2">
      <c r="A25" s="154" t="s">
        <v>662</v>
      </c>
      <c r="B25" s="155">
        <v>160382.70000000001</v>
      </c>
      <c r="C25" s="155">
        <v>85178.7</v>
      </c>
      <c r="D25" s="155">
        <f t="shared" si="2"/>
        <v>75204.000000000015</v>
      </c>
      <c r="E25" s="156">
        <f t="shared" si="3"/>
        <v>0.46890344158066927</v>
      </c>
      <c r="F25" s="156">
        <f t="shared" si="4"/>
        <v>0.88289678053316167</v>
      </c>
    </row>
    <row r="26" spans="1:6" x14ac:dyDescent="0.2">
      <c r="A26" s="154" t="s">
        <v>663</v>
      </c>
      <c r="B26" s="155">
        <v>151205.20000000001</v>
      </c>
      <c r="C26" s="155">
        <v>90860.56</v>
      </c>
      <c r="D26" s="155">
        <f t="shared" si="2"/>
        <v>60344.640000000014</v>
      </c>
      <c r="E26" s="156">
        <f t="shared" si="3"/>
        <v>0.39909103655165307</v>
      </c>
      <c r="F26" s="156">
        <f t="shared" si="4"/>
        <v>0.66414558748042074</v>
      </c>
    </row>
    <row r="27" spans="1:6" x14ac:dyDescent="0.2">
      <c r="A27" s="154" t="s">
        <v>664</v>
      </c>
      <c r="B27" s="155">
        <v>140834.79999999999</v>
      </c>
      <c r="C27" s="155">
        <v>85693.7</v>
      </c>
      <c r="D27" s="155">
        <f t="shared" si="2"/>
        <v>55141.099999999991</v>
      </c>
      <c r="E27" s="156">
        <f t="shared" si="3"/>
        <v>0.39153036039387989</v>
      </c>
      <c r="F27" s="156">
        <f t="shared" si="4"/>
        <v>0.64346737274735477</v>
      </c>
    </row>
    <row r="28" spans="1:6" x14ac:dyDescent="0.2">
      <c r="A28" s="154" t="s">
        <v>665</v>
      </c>
      <c r="B28" s="155">
        <v>139404.28</v>
      </c>
      <c r="C28" s="155">
        <v>81011.92</v>
      </c>
      <c r="D28" s="155">
        <f t="shared" si="2"/>
        <v>58392.36</v>
      </c>
      <c r="E28" s="156">
        <f t="shared" si="3"/>
        <v>0.41887064012668768</v>
      </c>
      <c r="F28" s="156">
        <f t="shared" si="4"/>
        <v>0.72078726192392428</v>
      </c>
    </row>
    <row r="29" spans="1:6" x14ac:dyDescent="0.2">
      <c r="A29" s="154" t="s">
        <v>666</v>
      </c>
      <c r="B29" s="155">
        <v>116648.9</v>
      </c>
      <c r="C29" s="155">
        <v>76373.45</v>
      </c>
      <c r="D29" s="155">
        <f t="shared" si="2"/>
        <v>40275.449999999997</v>
      </c>
      <c r="E29" s="156">
        <f t="shared" si="3"/>
        <v>0.34527072265576442</v>
      </c>
      <c r="F29" s="156">
        <f t="shared" si="4"/>
        <v>0.52734883653939946</v>
      </c>
    </row>
    <row r="30" spans="1:6" x14ac:dyDescent="0.2">
      <c r="A30" s="154" t="s">
        <v>667</v>
      </c>
      <c r="B30" s="155">
        <v>105188.22</v>
      </c>
      <c r="C30" s="155">
        <v>62666.1</v>
      </c>
      <c r="D30" s="155">
        <f t="shared" si="2"/>
        <v>42522.12</v>
      </c>
      <c r="E30" s="156">
        <f t="shared" si="3"/>
        <v>0.40424792814252397</v>
      </c>
      <c r="F30" s="156">
        <f t="shared" si="4"/>
        <v>0.67855060391503541</v>
      </c>
    </row>
    <row r="31" spans="1:6" x14ac:dyDescent="0.2">
      <c r="A31" s="154" t="s">
        <v>668</v>
      </c>
      <c r="B31" s="157">
        <v>102729.44</v>
      </c>
      <c r="C31" s="157">
        <v>70285</v>
      </c>
      <c r="D31" s="155">
        <f t="shared" si="2"/>
        <v>32444.440000000002</v>
      </c>
      <c r="E31" s="158">
        <f>+D31/B31</f>
        <v>0.31582416880691649</v>
      </c>
      <c r="F31" s="158">
        <f t="shared" si="4"/>
        <v>0.46161257736359113</v>
      </c>
    </row>
    <row r="32" spans="1:6" x14ac:dyDescent="0.2">
      <c r="A32" s="159" t="s">
        <v>669</v>
      </c>
      <c r="B32" s="160">
        <v>101230</v>
      </c>
      <c r="C32" s="160">
        <v>66857</v>
      </c>
      <c r="D32" s="155">
        <f t="shared" si="2"/>
        <v>34373</v>
      </c>
      <c r="E32" s="161">
        <f>+D32/B32</f>
        <v>0.33955349204781193</v>
      </c>
      <c r="F32" s="161">
        <f t="shared" si="4"/>
        <v>0.51412716693839089</v>
      </c>
    </row>
    <row r="33" spans="1:11" x14ac:dyDescent="0.2">
      <c r="A33" s="162" t="s">
        <v>670</v>
      </c>
      <c r="B33" s="163">
        <v>100396</v>
      </c>
      <c r="C33" s="163">
        <v>65611</v>
      </c>
      <c r="D33" s="155">
        <f t="shared" si="2"/>
        <v>34785</v>
      </c>
      <c r="E33" s="161">
        <f>+D33/B33</f>
        <v>0.34647794732857884</v>
      </c>
      <c r="F33" s="161">
        <f>+D33/C33</f>
        <v>0.53017024584292272</v>
      </c>
    </row>
    <row r="34" spans="1:11" x14ac:dyDescent="0.2">
      <c r="A34" s="164"/>
      <c r="B34" s="165">
        <f>SUM(B21:B33)</f>
        <v>2369353.7399999998</v>
      </c>
      <c r="C34" s="165">
        <f>SUM(C21:C33)</f>
        <v>1495152.3399999999</v>
      </c>
      <c r="D34" s="166">
        <f>SUM(D21:D33)</f>
        <v>874201.39999999991</v>
      </c>
      <c r="E34" s="167">
        <f t="shared" si="3"/>
        <v>0.3689619600659545</v>
      </c>
      <c r="F34" s="167">
        <f t="shared" si="4"/>
        <v>0.58469052056595117</v>
      </c>
    </row>
    <row r="35" spans="1:11" ht="15" thickBot="1" x14ac:dyDescent="0.25"/>
    <row r="36" spans="1:11" x14ac:dyDescent="0.2">
      <c r="A36" s="168" t="s">
        <v>671</v>
      </c>
      <c r="B36" s="169"/>
      <c r="C36" s="169"/>
      <c r="D36" s="169"/>
      <c r="E36" s="169"/>
      <c r="F36" s="170">
        <f>+F34</f>
        <v>0.58469052056595117</v>
      </c>
    </row>
    <row r="37" spans="1:11" x14ac:dyDescent="0.2">
      <c r="A37" s="171" t="s">
        <v>417</v>
      </c>
      <c r="B37" s="172"/>
      <c r="C37" s="172"/>
      <c r="D37" s="172"/>
      <c r="E37" s="172"/>
      <c r="F37" s="173">
        <f>+AVERAGE(F21:F33)</f>
        <v>0.60005516866737674</v>
      </c>
    </row>
    <row r="38" spans="1:11" x14ac:dyDescent="0.2">
      <c r="A38" s="171" t="s">
        <v>672</v>
      </c>
      <c r="B38" s="172"/>
      <c r="C38" s="172"/>
      <c r="D38" s="172"/>
      <c r="E38" s="172"/>
      <c r="F38" s="173">
        <f>+MIN(F21:F33)</f>
        <v>0.46161257736359113</v>
      </c>
    </row>
    <row r="39" spans="1:11" x14ac:dyDescent="0.2">
      <c r="A39" s="171" t="s">
        <v>673</v>
      </c>
      <c r="B39" s="172"/>
      <c r="C39" s="172"/>
      <c r="D39" s="172"/>
      <c r="E39" s="172"/>
      <c r="F39" s="174">
        <f>+QUARTILE($F$21:$F$33,1)</f>
        <v>0.52734883653939946</v>
      </c>
    </row>
    <row r="40" spans="1:11" x14ac:dyDescent="0.2">
      <c r="A40" s="171" t="s">
        <v>674</v>
      </c>
      <c r="B40" s="172"/>
      <c r="C40" s="172"/>
      <c r="D40" s="172"/>
      <c r="E40" s="172"/>
      <c r="F40" s="173">
        <f>+MEDIAN(F21:F33)</f>
        <v>0.54685448699774997</v>
      </c>
    </row>
    <row r="41" spans="1:11" x14ac:dyDescent="0.2">
      <c r="A41" s="171" t="s">
        <v>675</v>
      </c>
      <c r="B41" s="172"/>
      <c r="C41" s="172"/>
      <c r="D41" s="172"/>
      <c r="E41" s="172"/>
      <c r="F41" s="174">
        <f>+QUARTILE($F$21:$F$33,3)</f>
        <v>0.66414558748042074</v>
      </c>
    </row>
    <row r="42" spans="1:11" ht="15" thickBot="1" x14ac:dyDescent="0.25">
      <c r="A42" s="175" t="s">
        <v>676</v>
      </c>
      <c r="B42" s="176"/>
      <c r="C42" s="176"/>
      <c r="D42" s="176"/>
      <c r="E42" s="176"/>
      <c r="F42" s="177">
        <f>+MAX(F21:F33)</f>
        <v>0.88289678053316167</v>
      </c>
    </row>
    <row r="44" spans="1:11" x14ac:dyDescent="0.2">
      <c r="C44" s="140"/>
    </row>
    <row r="46" spans="1:11" x14ac:dyDescent="0.2">
      <c r="A46" s="145" t="s">
        <v>677</v>
      </c>
    </row>
    <row r="47" spans="1:11" ht="15" thickBot="1" x14ac:dyDescent="0.25">
      <c r="J47" s="140"/>
      <c r="K47" s="139"/>
    </row>
    <row r="48" spans="1:11" x14ac:dyDescent="0.2">
      <c r="A48" s="168" t="s">
        <v>671</v>
      </c>
      <c r="B48" s="169"/>
      <c r="C48" s="169"/>
      <c r="D48" s="169"/>
      <c r="E48" s="170">
        <f>+F36-7.33%-1.78%</f>
        <v>0.49359052056595115</v>
      </c>
      <c r="J48" s="140"/>
      <c r="K48" s="139"/>
    </row>
    <row r="49" spans="1:11" x14ac:dyDescent="0.2">
      <c r="A49" s="171" t="s">
        <v>417</v>
      </c>
      <c r="B49" s="172"/>
      <c r="C49" s="172"/>
      <c r="D49" s="172"/>
      <c r="E49" s="173">
        <f t="shared" ref="E49:E54" si="5">+F37-7.33%-1.78%</f>
        <v>0.50895516866737667</v>
      </c>
      <c r="J49" s="140"/>
      <c r="K49" s="139"/>
    </row>
    <row r="50" spans="1:11" x14ac:dyDescent="0.2">
      <c r="A50" s="171" t="s">
        <v>672</v>
      </c>
      <c r="B50" s="172"/>
      <c r="C50" s="172"/>
      <c r="D50" s="172"/>
      <c r="E50" s="173">
        <f t="shared" si="5"/>
        <v>0.37051257736359117</v>
      </c>
      <c r="J50" s="140"/>
      <c r="K50" s="139"/>
    </row>
    <row r="51" spans="1:11" x14ac:dyDescent="0.2">
      <c r="A51" s="171" t="s">
        <v>673</v>
      </c>
      <c r="B51" s="172"/>
      <c r="C51" s="172"/>
      <c r="D51" s="172"/>
      <c r="E51" s="173">
        <f t="shared" si="5"/>
        <v>0.43624883653939944</v>
      </c>
      <c r="J51" s="140"/>
      <c r="K51" s="139"/>
    </row>
    <row r="52" spans="1:11" x14ac:dyDescent="0.2">
      <c r="A52" s="171" t="s">
        <v>674</v>
      </c>
      <c r="B52" s="172"/>
      <c r="C52" s="172"/>
      <c r="D52" s="172"/>
      <c r="E52" s="173">
        <f t="shared" si="5"/>
        <v>0.45575448699774995</v>
      </c>
      <c r="J52" s="140"/>
      <c r="K52" s="139"/>
    </row>
    <row r="53" spans="1:11" x14ac:dyDescent="0.2">
      <c r="A53" s="171" t="s">
        <v>675</v>
      </c>
      <c r="B53" s="172"/>
      <c r="C53" s="172"/>
      <c r="D53" s="172"/>
      <c r="E53" s="173">
        <f t="shared" si="5"/>
        <v>0.57304558748042067</v>
      </c>
      <c r="J53" s="140"/>
      <c r="K53" s="139"/>
    </row>
    <row r="54" spans="1:11" ht="15" thickBot="1" x14ac:dyDescent="0.25">
      <c r="A54" s="175" t="s">
        <v>676</v>
      </c>
      <c r="B54" s="176"/>
      <c r="C54" s="176"/>
      <c r="D54" s="176"/>
      <c r="E54" s="177">
        <f t="shared" si="5"/>
        <v>0.7917967805331616</v>
      </c>
      <c r="J54" s="140"/>
      <c r="K54" s="13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9"/>
  <sheetViews>
    <sheetView showGridLines="0" workbookViewId="0">
      <selection activeCell="J7" sqref="J7"/>
    </sheetView>
  </sheetViews>
  <sheetFormatPr baseColWidth="10" defaultColWidth="11.42578125" defaultRowHeight="15" x14ac:dyDescent="0.25"/>
  <cols>
    <col min="1" max="4" width="11.42578125" style="180"/>
    <col min="5" max="5" width="14.7109375" style="180" customWidth="1"/>
    <col min="6" max="7" width="14.85546875" style="180" customWidth="1"/>
    <col min="8" max="8" width="12.7109375" style="180" customWidth="1"/>
    <col min="9" max="261" width="11.42578125" style="180"/>
    <col min="262" max="262" width="14.7109375" style="180" customWidth="1"/>
    <col min="263" max="263" width="14.85546875" style="180" customWidth="1"/>
    <col min="264" max="264" width="12.7109375" style="180" customWidth="1"/>
    <col min="265" max="517" width="11.42578125" style="180"/>
    <col min="518" max="518" width="14.7109375" style="180" customWidth="1"/>
    <col min="519" max="519" width="14.85546875" style="180" customWidth="1"/>
    <col min="520" max="520" width="12.7109375" style="180" customWidth="1"/>
    <col min="521" max="773" width="11.42578125" style="180"/>
    <col min="774" max="774" width="14.7109375" style="180" customWidth="1"/>
    <col min="775" max="775" width="14.85546875" style="180" customWidth="1"/>
    <col min="776" max="776" width="12.7109375" style="180" customWidth="1"/>
    <col min="777" max="1029" width="11.42578125" style="180"/>
    <col min="1030" max="1030" width="14.7109375" style="180" customWidth="1"/>
    <col min="1031" max="1031" width="14.85546875" style="180" customWidth="1"/>
    <col min="1032" max="1032" width="12.7109375" style="180" customWidth="1"/>
    <col min="1033" max="1285" width="11.42578125" style="180"/>
    <col min="1286" max="1286" width="14.7109375" style="180" customWidth="1"/>
    <col min="1287" max="1287" width="14.85546875" style="180" customWidth="1"/>
    <col min="1288" max="1288" width="12.7109375" style="180" customWidth="1"/>
    <col min="1289" max="1541" width="11.42578125" style="180"/>
    <col min="1542" max="1542" width="14.7109375" style="180" customWidth="1"/>
    <col min="1543" max="1543" width="14.85546875" style="180" customWidth="1"/>
    <col min="1544" max="1544" width="12.7109375" style="180" customWidth="1"/>
    <col min="1545" max="1797" width="11.42578125" style="180"/>
    <col min="1798" max="1798" width="14.7109375" style="180" customWidth="1"/>
    <col min="1799" max="1799" width="14.85546875" style="180" customWidth="1"/>
    <col min="1800" max="1800" width="12.7109375" style="180" customWidth="1"/>
    <col min="1801" max="2053" width="11.42578125" style="180"/>
    <col min="2054" max="2054" width="14.7109375" style="180" customWidth="1"/>
    <col min="2055" max="2055" width="14.85546875" style="180" customWidth="1"/>
    <col min="2056" max="2056" width="12.7109375" style="180" customWidth="1"/>
    <col min="2057" max="2309" width="11.42578125" style="180"/>
    <col min="2310" max="2310" width="14.7109375" style="180" customWidth="1"/>
    <col min="2311" max="2311" width="14.85546875" style="180" customWidth="1"/>
    <col min="2312" max="2312" width="12.7109375" style="180" customWidth="1"/>
    <col min="2313" max="2565" width="11.42578125" style="180"/>
    <col min="2566" max="2566" width="14.7109375" style="180" customWidth="1"/>
    <col min="2567" max="2567" width="14.85546875" style="180" customWidth="1"/>
    <col min="2568" max="2568" width="12.7109375" style="180" customWidth="1"/>
    <col min="2569" max="2821" width="11.42578125" style="180"/>
    <col min="2822" max="2822" width="14.7109375" style="180" customWidth="1"/>
    <col min="2823" max="2823" width="14.85546875" style="180" customWidth="1"/>
    <col min="2824" max="2824" width="12.7109375" style="180" customWidth="1"/>
    <col min="2825" max="3077" width="11.42578125" style="180"/>
    <col min="3078" max="3078" width="14.7109375" style="180" customWidth="1"/>
    <col min="3079" max="3079" width="14.85546875" style="180" customWidth="1"/>
    <col min="3080" max="3080" width="12.7109375" style="180" customWidth="1"/>
    <col min="3081" max="3333" width="11.42578125" style="180"/>
    <col min="3334" max="3334" width="14.7109375" style="180" customWidth="1"/>
    <col min="3335" max="3335" width="14.85546875" style="180" customWidth="1"/>
    <col min="3336" max="3336" width="12.7109375" style="180" customWidth="1"/>
    <col min="3337" max="3589" width="11.42578125" style="180"/>
    <col min="3590" max="3590" width="14.7109375" style="180" customWidth="1"/>
    <col min="3591" max="3591" width="14.85546875" style="180" customWidth="1"/>
    <col min="3592" max="3592" width="12.7109375" style="180" customWidth="1"/>
    <col min="3593" max="3845" width="11.42578125" style="180"/>
    <col min="3846" max="3846" width="14.7109375" style="180" customWidth="1"/>
    <col min="3847" max="3847" width="14.85546875" style="180" customWidth="1"/>
    <col min="3848" max="3848" width="12.7109375" style="180" customWidth="1"/>
    <col min="3849" max="4101" width="11.42578125" style="180"/>
    <col min="4102" max="4102" width="14.7109375" style="180" customWidth="1"/>
    <col min="4103" max="4103" width="14.85546875" style="180" customWidth="1"/>
    <col min="4104" max="4104" width="12.7109375" style="180" customWidth="1"/>
    <col min="4105" max="4357" width="11.42578125" style="180"/>
    <col min="4358" max="4358" width="14.7109375" style="180" customWidth="1"/>
    <col min="4359" max="4359" width="14.85546875" style="180" customWidth="1"/>
    <col min="4360" max="4360" width="12.7109375" style="180" customWidth="1"/>
    <col min="4361" max="4613" width="11.42578125" style="180"/>
    <col min="4614" max="4614" width="14.7109375" style="180" customWidth="1"/>
    <col min="4615" max="4615" width="14.85546875" style="180" customWidth="1"/>
    <col min="4616" max="4616" width="12.7109375" style="180" customWidth="1"/>
    <col min="4617" max="4869" width="11.42578125" style="180"/>
    <col min="4870" max="4870" width="14.7109375" style="180" customWidth="1"/>
    <col min="4871" max="4871" width="14.85546875" style="180" customWidth="1"/>
    <col min="4872" max="4872" width="12.7109375" style="180" customWidth="1"/>
    <col min="4873" max="5125" width="11.42578125" style="180"/>
    <col min="5126" max="5126" width="14.7109375" style="180" customWidth="1"/>
    <col min="5127" max="5127" width="14.85546875" style="180" customWidth="1"/>
    <col min="5128" max="5128" width="12.7109375" style="180" customWidth="1"/>
    <col min="5129" max="5381" width="11.42578125" style="180"/>
    <col min="5382" max="5382" width="14.7109375" style="180" customWidth="1"/>
    <col min="5383" max="5383" width="14.85546875" style="180" customWidth="1"/>
    <col min="5384" max="5384" width="12.7109375" style="180" customWidth="1"/>
    <col min="5385" max="5637" width="11.42578125" style="180"/>
    <col min="5638" max="5638" width="14.7109375" style="180" customWidth="1"/>
    <col min="5639" max="5639" width="14.85546875" style="180" customWidth="1"/>
    <col min="5640" max="5640" width="12.7109375" style="180" customWidth="1"/>
    <col min="5641" max="5893" width="11.42578125" style="180"/>
    <col min="5894" max="5894" width="14.7109375" style="180" customWidth="1"/>
    <col min="5895" max="5895" width="14.85546875" style="180" customWidth="1"/>
    <col min="5896" max="5896" width="12.7109375" style="180" customWidth="1"/>
    <col min="5897" max="6149" width="11.42578125" style="180"/>
    <col min="6150" max="6150" width="14.7109375" style="180" customWidth="1"/>
    <col min="6151" max="6151" width="14.85546875" style="180" customWidth="1"/>
    <col min="6152" max="6152" width="12.7109375" style="180" customWidth="1"/>
    <col min="6153" max="6405" width="11.42578125" style="180"/>
    <col min="6406" max="6406" width="14.7109375" style="180" customWidth="1"/>
    <col min="6407" max="6407" width="14.85546875" style="180" customWidth="1"/>
    <col min="6408" max="6408" width="12.7109375" style="180" customWidth="1"/>
    <col min="6409" max="6661" width="11.42578125" style="180"/>
    <col min="6662" max="6662" width="14.7109375" style="180" customWidth="1"/>
    <col min="6663" max="6663" width="14.85546875" style="180" customWidth="1"/>
    <col min="6664" max="6664" width="12.7109375" style="180" customWidth="1"/>
    <col min="6665" max="6917" width="11.42578125" style="180"/>
    <col min="6918" max="6918" width="14.7109375" style="180" customWidth="1"/>
    <col min="6919" max="6919" width="14.85546875" style="180" customWidth="1"/>
    <col min="6920" max="6920" width="12.7109375" style="180" customWidth="1"/>
    <col min="6921" max="7173" width="11.42578125" style="180"/>
    <col min="7174" max="7174" width="14.7109375" style="180" customWidth="1"/>
    <col min="7175" max="7175" width="14.85546875" style="180" customWidth="1"/>
    <col min="7176" max="7176" width="12.7109375" style="180" customWidth="1"/>
    <col min="7177" max="7429" width="11.42578125" style="180"/>
    <col min="7430" max="7430" width="14.7109375" style="180" customWidth="1"/>
    <col min="7431" max="7431" width="14.85546875" style="180" customWidth="1"/>
    <col min="7432" max="7432" width="12.7109375" style="180" customWidth="1"/>
    <col min="7433" max="7685" width="11.42578125" style="180"/>
    <col min="7686" max="7686" width="14.7109375" style="180" customWidth="1"/>
    <col min="7687" max="7687" width="14.85546875" style="180" customWidth="1"/>
    <col min="7688" max="7688" width="12.7109375" style="180" customWidth="1"/>
    <col min="7689" max="7941" width="11.42578125" style="180"/>
    <col min="7942" max="7942" width="14.7109375" style="180" customWidth="1"/>
    <col min="7943" max="7943" width="14.85546875" style="180" customWidth="1"/>
    <col min="7944" max="7944" width="12.7109375" style="180" customWidth="1"/>
    <col min="7945" max="8197" width="11.42578125" style="180"/>
    <col min="8198" max="8198" width="14.7109375" style="180" customWidth="1"/>
    <col min="8199" max="8199" width="14.85546875" style="180" customWidth="1"/>
    <col min="8200" max="8200" width="12.7109375" style="180" customWidth="1"/>
    <col min="8201" max="8453" width="11.42578125" style="180"/>
    <col min="8454" max="8454" width="14.7109375" style="180" customWidth="1"/>
    <col min="8455" max="8455" width="14.85546875" style="180" customWidth="1"/>
    <col min="8456" max="8456" width="12.7109375" style="180" customWidth="1"/>
    <col min="8457" max="8709" width="11.42578125" style="180"/>
    <col min="8710" max="8710" width="14.7109375" style="180" customWidth="1"/>
    <col min="8711" max="8711" width="14.85546875" style="180" customWidth="1"/>
    <col min="8712" max="8712" width="12.7109375" style="180" customWidth="1"/>
    <col min="8713" max="8965" width="11.42578125" style="180"/>
    <col min="8966" max="8966" width="14.7109375" style="180" customWidth="1"/>
    <col min="8967" max="8967" width="14.85546875" style="180" customWidth="1"/>
    <col min="8968" max="8968" width="12.7109375" style="180" customWidth="1"/>
    <col min="8969" max="9221" width="11.42578125" style="180"/>
    <col min="9222" max="9222" width="14.7109375" style="180" customWidth="1"/>
    <col min="9223" max="9223" width="14.85546875" style="180" customWidth="1"/>
    <col min="9224" max="9224" width="12.7109375" style="180" customWidth="1"/>
    <col min="9225" max="9477" width="11.42578125" style="180"/>
    <col min="9478" max="9478" width="14.7109375" style="180" customWidth="1"/>
    <col min="9479" max="9479" width="14.85546875" style="180" customWidth="1"/>
    <col min="9480" max="9480" width="12.7109375" style="180" customWidth="1"/>
    <col min="9481" max="9733" width="11.42578125" style="180"/>
    <col min="9734" max="9734" width="14.7109375" style="180" customWidth="1"/>
    <col min="9735" max="9735" width="14.85546875" style="180" customWidth="1"/>
    <col min="9736" max="9736" width="12.7109375" style="180" customWidth="1"/>
    <col min="9737" max="9989" width="11.42578125" style="180"/>
    <col min="9990" max="9990" width="14.7109375" style="180" customWidth="1"/>
    <col min="9991" max="9991" width="14.85546875" style="180" customWidth="1"/>
    <col min="9992" max="9992" width="12.7109375" style="180" customWidth="1"/>
    <col min="9993" max="10245" width="11.42578125" style="180"/>
    <col min="10246" max="10246" width="14.7109375" style="180" customWidth="1"/>
    <col min="10247" max="10247" width="14.85546875" style="180" customWidth="1"/>
    <col min="10248" max="10248" width="12.7109375" style="180" customWidth="1"/>
    <col min="10249" max="10501" width="11.42578125" style="180"/>
    <col min="10502" max="10502" width="14.7109375" style="180" customWidth="1"/>
    <col min="10503" max="10503" width="14.85546875" style="180" customWidth="1"/>
    <col min="10504" max="10504" width="12.7109375" style="180" customWidth="1"/>
    <col min="10505" max="10757" width="11.42578125" style="180"/>
    <col min="10758" max="10758" width="14.7109375" style="180" customWidth="1"/>
    <col min="10759" max="10759" width="14.85546875" style="180" customWidth="1"/>
    <col min="10760" max="10760" width="12.7109375" style="180" customWidth="1"/>
    <col min="10761" max="11013" width="11.42578125" style="180"/>
    <col min="11014" max="11014" width="14.7109375" style="180" customWidth="1"/>
    <col min="11015" max="11015" width="14.85546875" style="180" customWidth="1"/>
    <col min="11016" max="11016" width="12.7109375" style="180" customWidth="1"/>
    <col min="11017" max="11269" width="11.42578125" style="180"/>
    <col min="11270" max="11270" width="14.7109375" style="180" customWidth="1"/>
    <col min="11271" max="11271" width="14.85546875" style="180" customWidth="1"/>
    <col min="11272" max="11272" width="12.7109375" style="180" customWidth="1"/>
    <col min="11273" max="11525" width="11.42578125" style="180"/>
    <col min="11526" max="11526" width="14.7109375" style="180" customWidth="1"/>
    <col min="11527" max="11527" width="14.85546875" style="180" customWidth="1"/>
    <col min="11528" max="11528" width="12.7109375" style="180" customWidth="1"/>
    <col min="11529" max="11781" width="11.42578125" style="180"/>
    <col min="11782" max="11782" width="14.7109375" style="180" customWidth="1"/>
    <col min="11783" max="11783" width="14.85546875" style="180" customWidth="1"/>
    <col min="11784" max="11784" width="12.7109375" style="180" customWidth="1"/>
    <col min="11785" max="12037" width="11.42578125" style="180"/>
    <col min="12038" max="12038" width="14.7109375" style="180" customWidth="1"/>
    <col min="12039" max="12039" width="14.85546875" style="180" customWidth="1"/>
    <col min="12040" max="12040" width="12.7109375" style="180" customWidth="1"/>
    <col min="12041" max="12293" width="11.42578125" style="180"/>
    <col min="12294" max="12294" width="14.7109375" style="180" customWidth="1"/>
    <col min="12295" max="12295" width="14.85546875" style="180" customWidth="1"/>
    <col min="12296" max="12296" width="12.7109375" style="180" customWidth="1"/>
    <col min="12297" max="12549" width="11.42578125" style="180"/>
    <col min="12550" max="12550" width="14.7109375" style="180" customWidth="1"/>
    <col min="12551" max="12551" width="14.85546875" style="180" customWidth="1"/>
    <col min="12552" max="12552" width="12.7109375" style="180" customWidth="1"/>
    <col min="12553" max="12805" width="11.42578125" style="180"/>
    <col min="12806" max="12806" width="14.7109375" style="180" customWidth="1"/>
    <col min="12807" max="12807" width="14.85546875" style="180" customWidth="1"/>
    <col min="12808" max="12808" width="12.7109375" style="180" customWidth="1"/>
    <col min="12809" max="13061" width="11.42578125" style="180"/>
    <col min="13062" max="13062" width="14.7109375" style="180" customWidth="1"/>
    <col min="13063" max="13063" width="14.85546875" style="180" customWidth="1"/>
    <col min="13064" max="13064" width="12.7109375" style="180" customWidth="1"/>
    <col min="13065" max="13317" width="11.42578125" style="180"/>
    <col min="13318" max="13318" width="14.7109375" style="180" customWidth="1"/>
    <col min="13319" max="13319" width="14.85546875" style="180" customWidth="1"/>
    <col min="13320" max="13320" width="12.7109375" style="180" customWidth="1"/>
    <col min="13321" max="13573" width="11.42578125" style="180"/>
    <col min="13574" max="13574" width="14.7109375" style="180" customWidth="1"/>
    <col min="13575" max="13575" width="14.85546875" style="180" customWidth="1"/>
    <col min="13576" max="13576" width="12.7109375" style="180" customWidth="1"/>
    <col min="13577" max="13829" width="11.42578125" style="180"/>
    <col min="13830" max="13830" width="14.7109375" style="180" customWidth="1"/>
    <col min="13831" max="13831" width="14.85546875" style="180" customWidth="1"/>
    <col min="13832" max="13832" width="12.7109375" style="180" customWidth="1"/>
    <col min="13833" max="14085" width="11.42578125" style="180"/>
    <col min="14086" max="14086" width="14.7109375" style="180" customWidth="1"/>
    <col min="14087" max="14087" width="14.85546875" style="180" customWidth="1"/>
    <col min="14088" max="14088" width="12.7109375" style="180" customWidth="1"/>
    <col min="14089" max="14341" width="11.42578125" style="180"/>
    <col min="14342" max="14342" width="14.7109375" style="180" customWidth="1"/>
    <col min="14343" max="14343" width="14.85546875" style="180" customWidth="1"/>
    <col min="14344" max="14344" width="12.7109375" style="180" customWidth="1"/>
    <col min="14345" max="14597" width="11.42578125" style="180"/>
    <col min="14598" max="14598" width="14.7109375" style="180" customWidth="1"/>
    <col min="14599" max="14599" width="14.85546875" style="180" customWidth="1"/>
    <col min="14600" max="14600" width="12.7109375" style="180" customWidth="1"/>
    <col min="14601" max="14853" width="11.42578125" style="180"/>
    <col min="14854" max="14854" width="14.7109375" style="180" customWidth="1"/>
    <col min="14855" max="14855" width="14.85546875" style="180" customWidth="1"/>
    <col min="14856" max="14856" width="12.7109375" style="180" customWidth="1"/>
    <col min="14857" max="15109" width="11.42578125" style="180"/>
    <col min="15110" max="15110" width="14.7109375" style="180" customWidth="1"/>
    <col min="15111" max="15111" width="14.85546875" style="180" customWidth="1"/>
    <col min="15112" max="15112" width="12.7109375" style="180" customWidth="1"/>
    <col min="15113" max="15365" width="11.42578125" style="180"/>
    <col min="15366" max="15366" width="14.7109375" style="180" customWidth="1"/>
    <col min="15367" max="15367" width="14.85546875" style="180" customWidth="1"/>
    <col min="15368" max="15368" width="12.7109375" style="180" customWidth="1"/>
    <col min="15369" max="15621" width="11.42578125" style="180"/>
    <col min="15622" max="15622" width="14.7109375" style="180" customWidth="1"/>
    <col min="15623" max="15623" width="14.85546875" style="180" customWidth="1"/>
    <col min="15624" max="15624" width="12.7109375" style="180" customWidth="1"/>
    <col min="15625" max="15877" width="11.42578125" style="180"/>
    <col min="15878" max="15878" width="14.7109375" style="180" customWidth="1"/>
    <col min="15879" max="15879" width="14.85546875" style="180" customWidth="1"/>
    <col min="15880" max="15880" width="12.7109375" style="180" customWidth="1"/>
    <col min="15881" max="16133" width="11.42578125" style="180"/>
    <col min="16134" max="16134" width="14.7109375" style="180" customWidth="1"/>
    <col min="16135" max="16135" width="14.85546875" style="180" customWidth="1"/>
    <col min="16136" max="16136" width="12.7109375" style="180" customWidth="1"/>
    <col min="16137" max="16384" width="11.42578125" style="180"/>
  </cols>
  <sheetData>
    <row r="2" spans="2:9" ht="15.75" thickBot="1" x14ac:dyDescent="0.3">
      <c r="B2" s="417" t="s">
        <v>741</v>
      </c>
    </row>
    <row r="3" spans="2:9" x14ac:dyDescent="0.25">
      <c r="B3" s="418" t="s">
        <v>742</v>
      </c>
      <c r="C3" s="419"/>
      <c r="D3" s="419"/>
      <c r="E3" s="419"/>
      <c r="F3" s="419"/>
      <c r="G3" s="579" t="s">
        <v>747</v>
      </c>
      <c r="H3" s="578" t="s">
        <v>747</v>
      </c>
    </row>
    <row r="4" spans="2:9" x14ac:dyDescent="0.25">
      <c r="B4" s="421" t="s">
        <v>743</v>
      </c>
      <c r="C4" s="422" t="s">
        <v>744</v>
      </c>
      <c r="D4" s="422" t="s">
        <v>627</v>
      </c>
      <c r="E4" s="423" t="s">
        <v>745</v>
      </c>
      <c r="F4" s="422" t="s">
        <v>746</v>
      </c>
      <c r="G4" s="423" t="s">
        <v>819</v>
      </c>
      <c r="H4" s="424" t="s">
        <v>820</v>
      </c>
    </row>
    <row r="5" spans="2:9" x14ac:dyDescent="0.25">
      <c r="B5" s="425">
        <v>40346</v>
      </c>
      <c r="C5" s="426">
        <v>104280</v>
      </c>
      <c r="D5" s="406">
        <v>3500</v>
      </c>
      <c r="E5" s="422"/>
      <c r="F5" s="422"/>
      <c r="G5" s="422"/>
      <c r="H5" s="427"/>
    </row>
    <row r="6" spans="2:9" x14ac:dyDescent="0.25">
      <c r="B6" s="425">
        <v>40353</v>
      </c>
      <c r="C6" s="581">
        <v>104981</v>
      </c>
      <c r="D6" s="407">
        <v>2800</v>
      </c>
      <c r="E6" s="429"/>
      <c r="F6" s="422"/>
      <c r="G6" s="422"/>
      <c r="H6" s="427"/>
      <c r="I6" s="179"/>
    </row>
    <row r="7" spans="2:9" x14ac:dyDescent="0.25">
      <c r="B7" s="425">
        <v>405599</v>
      </c>
      <c r="C7" s="428">
        <v>105001</v>
      </c>
      <c r="D7" s="407">
        <v>3900</v>
      </c>
      <c r="E7" s="429"/>
      <c r="F7" s="422"/>
      <c r="G7" s="422"/>
      <c r="H7" s="427"/>
      <c r="I7" s="179"/>
    </row>
    <row r="8" spans="2:9" x14ac:dyDescent="0.25">
      <c r="B8" s="425">
        <v>40364</v>
      </c>
      <c r="C8" s="428">
        <v>105327</v>
      </c>
      <c r="D8" s="407">
        <v>2000</v>
      </c>
      <c r="E8" s="429"/>
      <c r="F8" s="422"/>
      <c r="G8" s="422"/>
      <c r="H8" s="427"/>
      <c r="I8" s="179"/>
    </row>
    <row r="9" spans="2:9" x14ac:dyDescent="0.25">
      <c r="B9" s="425">
        <v>40398</v>
      </c>
      <c r="C9" s="428">
        <v>106555</v>
      </c>
      <c r="D9" s="407">
        <v>3100</v>
      </c>
      <c r="E9" s="429"/>
      <c r="F9" s="422"/>
      <c r="G9" s="422"/>
      <c r="H9" s="427"/>
      <c r="I9" s="179"/>
    </row>
    <row r="10" spans="2:9" x14ac:dyDescent="0.25">
      <c r="B10" s="421"/>
      <c r="C10" s="429" t="s">
        <v>821</v>
      </c>
      <c r="D10" s="429"/>
      <c r="E10" s="429"/>
      <c r="F10" s="422"/>
      <c r="G10" s="422"/>
      <c r="H10" s="427"/>
      <c r="I10" s="179"/>
    </row>
    <row r="11" spans="2:9" ht="15.75" thickBot="1" x14ac:dyDescent="0.3">
      <c r="B11" s="430" t="s">
        <v>748</v>
      </c>
      <c r="C11" s="431"/>
      <c r="D11" s="431"/>
      <c r="E11" s="408">
        <f>SUM(D5:D9)</f>
        <v>15300</v>
      </c>
      <c r="F11" s="577">
        <f>SUM(D5:D10)+3000</f>
        <v>18300</v>
      </c>
      <c r="G11" s="409">
        <f>+F11-E11</f>
        <v>3000</v>
      </c>
      <c r="H11" s="580"/>
      <c r="I11" s="179"/>
    </row>
    <row r="12" spans="2:9" ht="15.75" thickBot="1" x14ac:dyDescent="0.3">
      <c r="C12" s="432"/>
      <c r="D12" s="432"/>
      <c r="E12" s="432"/>
    </row>
    <row r="13" spans="2:9" x14ac:dyDescent="0.25">
      <c r="B13" s="418" t="s">
        <v>749</v>
      </c>
      <c r="C13" s="433"/>
      <c r="D13" s="433"/>
      <c r="E13" s="433"/>
      <c r="F13" s="419"/>
      <c r="G13" s="419"/>
      <c r="H13" s="420"/>
      <c r="I13" s="179"/>
    </row>
    <row r="14" spans="2:9" ht="15.75" thickBot="1" x14ac:dyDescent="0.3">
      <c r="B14" s="434">
        <v>40367</v>
      </c>
      <c r="C14" s="431" t="s">
        <v>750</v>
      </c>
      <c r="D14" s="408">
        <v>450</v>
      </c>
      <c r="E14" s="431"/>
      <c r="F14" s="435"/>
      <c r="G14" s="435"/>
      <c r="H14" s="436"/>
    </row>
    <row r="15" spans="2:9" ht="15.75" thickBot="1" x14ac:dyDescent="0.3">
      <c r="C15" s="432"/>
      <c r="D15" s="432"/>
      <c r="E15" s="432"/>
    </row>
    <row r="16" spans="2:9" x14ac:dyDescent="0.25">
      <c r="B16" s="418" t="s">
        <v>751</v>
      </c>
      <c r="C16" s="433"/>
      <c r="D16" s="433"/>
      <c r="E16" s="433"/>
      <c r="F16" s="419"/>
      <c r="G16" s="419"/>
      <c r="H16" s="420"/>
    </row>
    <row r="17" spans="2:9" x14ac:dyDescent="0.25">
      <c r="B17" s="421"/>
      <c r="C17" s="429"/>
      <c r="D17" s="429"/>
      <c r="E17" s="429" t="s">
        <v>743</v>
      </c>
      <c r="F17" s="422"/>
      <c r="G17" s="422"/>
      <c r="H17" s="427"/>
    </row>
    <row r="18" spans="2:9" x14ac:dyDescent="0.25">
      <c r="B18" s="421" t="s">
        <v>743</v>
      </c>
      <c r="C18" s="429" t="s">
        <v>744</v>
      </c>
      <c r="D18" s="429" t="s">
        <v>627</v>
      </c>
      <c r="E18" s="429" t="s">
        <v>752</v>
      </c>
      <c r="F18" s="422"/>
      <c r="G18" s="422"/>
      <c r="H18" s="427"/>
    </row>
    <row r="19" spans="2:9" x14ac:dyDescent="0.25">
      <c r="B19" s="425">
        <v>40318</v>
      </c>
      <c r="C19" s="428">
        <v>103990</v>
      </c>
      <c r="D19" s="407">
        <v>3400</v>
      </c>
      <c r="E19" s="437">
        <v>40410</v>
      </c>
      <c r="F19" s="438"/>
      <c r="G19" s="438"/>
      <c r="H19" s="427"/>
    </row>
    <row r="20" spans="2:9" x14ac:dyDescent="0.25">
      <c r="B20" s="425">
        <v>40353</v>
      </c>
      <c r="C20" s="581">
        <v>104981</v>
      </c>
      <c r="D20" s="407">
        <v>2800</v>
      </c>
      <c r="E20" s="437">
        <v>40415</v>
      </c>
      <c r="F20" s="438"/>
      <c r="G20" s="438"/>
      <c r="H20" s="427"/>
    </row>
    <row r="21" spans="2:9" x14ac:dyDescent="0.25">
      <c r="B21" s="425">
        <v>40359</v>
      </c>
      <c r="C21" s="428">
        <v>104997</v>
      </c>
      <c r="D21" s="407">
        <v>4000</v>
      </c>
      <c r="E21" s="437">
        <v>40398</v>
      </c>
      <c r="F21" s="438"/>
      <c r="G21" s="438"/>
      <c r="H21" s="427"/>
    </row>
    <row r="22" spans="2:9" x14ac:dyDescent="0.25">
      <c r="B22" s="425"/>
      <c r="C22" s="426" t="s">
        <v>822</v>
      </c>
      <c r="D22" s="406"/>
      <c r="E22" s="422"/>
      <c r="F22" s="422"/>
      <c r="G22" s="422"/>
      <c r="H22" s="427"/>
    </row>
    <row r="23" spans="2:9" ht="15.75" thickBot="1" x14ac:dyDescent="0.3">
      <c r="B23" s="430" t="s">
        <v>748</v>
      </c>
      <c r="C23" s="435"/>
      <c r="D23" s="409">
        <f>SUM(D17:D22)</f>
        <v>10200</v>
      </c>
      <c r="E23" s="409">
        <f>+D19+D21</f>
        <v>7400</v>
      </c>
      <c r="F23" s="577">
        <v>10200</v>
      </c>
      <c r="G23" s="409">
        <v>2800</v>
      </c>
      <c r="H23" s="436"/>
    </row>
    <row r="24" spans="2:9" ht="15.75" thickBot="1" x14ac:dyDescent="0.3"/>
    <row r="25" spans="2:9" x14ac:dyDescent="0.25">
      <c r="B25" s="418" t="s">
        <v>753</v>
      </c>
      <c r="C25" s="419"/>
      <c r="D25" s="419"/>
      <c r="E25" s="419"/>
      <c r="F25" s="419"/>
      <c r="G25" s="419"/>
      <c r="H25" s="420"/>
    </row>
    <row r="26" spans="2:9" x14ac:dyDescent="0.25">
      <c r="B26" s="421" t="s">
        <v>754</v>
      </c>
      <c r="C26" s="422"/>
      <c r="D26" s="422"/>
      <c r="E26" s="406">
        <f>+F11</f>
        <v>18300</v>
      </c>
      <c r="F26" s="406">
        <v>15300</v>
      </c>
      <c r="G26" s="406"/>
      <c r="H26" s="427"/>
    </row>
    <row r="27" spans="2:9" x14ac:dyDescent="0.25">
      <c r="B27" s="421" t="s">
        <v>749</v>
      </c>
      <c r="C27" s="422"/>
      <c r="D27" s="422"/>
      <c r="E27" s="406">
        <f>+D14</f>
        <v>450</v>
      </c>
      <c r="F27" s="406">
        <v>450</v>
      </c>
      <c r="G27" s="406"/>
      <c r="H27" s="427"/>
    </row>
    <row r="28" spans="2:9" x14ac:dyDescent="0.25">
      <c r="B28" s="421" t="s">
        <v>751</v>
      </c>
      <c r="C28" s="422"/>
      <c r="D28" s="422"/>
      <c r="E28" s="406">
        <f>+D23</f>
        <v>10200</v>
      </c>
      <c r="F28" s="406">
        <f>+D19+D21</f>
        <v>7400</v>
      </c>
      <c r="G28" s="406"/>
      <c r="H28" s="427"/>
    </row>
    <row r="29" spans="2:9" x14ac:dyDescent="0.25">
      <c r="B29" s="421"/>
      <c r="C29" s="422"/>
      <c r="D29" s="422"/>
      <c r="E29" s="422"/>
      <c r="F29" s="422"/>
      <c r="G29" s="422"/>
      <c r="H29" s="427"/>
    </row>
    <row r="30" spans="2:9" ht="15.75" thickBot="1" x14ac:dyDescent="0.3">
      <c r="B30" s="439" t="s">
        <v>755</v>
      </c>
      <c r="C30" s="440"/>
      <c r="D30" s="440"/>
      <c r="E30" s="411">
        <f>SUM(E26:E29)</f>
        <v>28950</v>
      </c>
      <c r="F30" s="411">
        <f>SUM(F26:F29)</f>
        <v>23150</v>
      </c>
      <c r="G30" s="411">
        <f>+E30-F30</f>
        <v>5800</v>
      </c>
      <c r="H30" s="412"/>
      <c r="I30" s="179"/>
    </row>
    <row r="32" spans="2:9" x14ac:dyDescent="0.25">
      <c r="I32" s="179"/>
    </row>
    <row r="33" spans="2:12" x14ac:dyDescent="0.25">
      <c r="B33" s="417" t="s">
        <v>756</v>
      </c>
      <c r="C33" s="417"/>
      <c r="D33" s="417"/>
      <c r="E33" s="417"/>
      <c r="F33" s="417"/>
      <c r="G33" s="417"/>
      <c r="H33" s="180" t="s">
        <v>757</v>
      </c>
      <c r="I33" s="179" t="s">
        <v>745</v>
      </c>
    </row>
    <row r="35" spans="2:12" ht="15.75" thickBot="1" x14ac:dyDescent="0.3">
      <c r="B35" s="180" t="s">
        <v>758</v>
      </c>
      <c r="H35" s="179"/>
      <c r="I35" s="179"/>
    </row>
    <row r="36" spans="2:12" ht="15.75" thickBot="1" x14ac:dyDescent="0.3">
      <c r="B36" s="441" t="s">
        <v>759</v>
      </c>
      <c r="C36" s="442"/>
      <c r="D36" s="442"/>
      <c r="E36" s="442"/>
      <c r="F36" s="442"/>
      <c r="G36" s="442"/>
      <c r="H36" s="413">
        <f>+E30</f>
        <v>28950</v>
      </c>
      <c r="I36" s="414">
        <f>+F30</f>
        <v>23150</v>
      </c>
      <c r="L36" s="179"/>
    </row>
    <row r="37" spans="2:12" x14ac:dyDescent="0.25">
      <c r="B37" s="418" t="s">
        <v>760</v>
      </c>
      <c r="C37" s="419"/>
      <c r="D37" s="419"/>
      <c r="E37" s="419"/>
      <c r="F37" s="419"/>
      <c r="G37" s="419"/>
      <c r="H37" s="405"/>
      <c r="I37" s="420"/>
    </row>
    <row r="38" spans="2:12" x14ac:dyDescent="0.25">
      <c r="B38" s="421" t="s">
        <v>743</v>
      </c>
      <c r="C38" s="422" t="s">
        <v>744</v>
      </c>
      <c r="D38" s="422" t="s">
        <v>627</v>
      </c>
      <c r="E38" s="422"/>
      <c r="F38" s="422"/>
      <c r="G38" s="422"/>
      <c r="H38" s="406"/>
      <c r="I38" s="427"/>
    </row>
    <row r="39" spans="2:12" x14ac:dyDescent="0.25">
      <c r="B39" s="425">
        <v>40431</v>
      </c>
      <c r="C39" s="426">
        <v>107232</v>
      </c>
      <c r="D39" s="406">
        <v>3250</v>
      </c>
      <c r="E39" s="422"/>
      <c r="F39" s="422"/>
      <c r="G39" s="422"/>
      <c r="H39" s="406">
        <f>+D39</f>
        <v>3250</v>
      </c>
      <c r="I39" s="582">
        <f>+D39</f>
        <v>3250</v>
      </c>
    </row>
    <row r="40" spans="2:12" x14ac:dyDescent="0.25">
      <c r="B40" s="425">
        <v>40441</v>
      </c>
      <c r="C40" s="426">
        <v>107566</v>
      </c>
      <c r="D40" s="406">
        <v>2900</v>
      </c>
      <c r="E40" s="422"/>
      <c r="F40" s="422"/>
      <c r="G40" s="422"/>
      <c r="H40" s="406">
        <f t="shared" ref="H40:H41" si="0">+D40</f>
        <v>2900</v>
      </c>
      <c r="I40" s="582">
        <f>+D40</f>
        <v>2900</v>
      </c>
    </row>
    <row r="41" spans="2:12" x14ac:dyDescent="0.25">
      <c r="B41" s="443">
        <v>40379</v>
      </c>
      <c r="C41" s="428">
        <v>105922</v>
      </c>
      <c r="D41" s="407">
        <v>3600</v>
      </c>
      <c r="E41" s="422" t="s">
        <v>761</v>
      </c>
      <c r="F41" s="422"/>
      <c r="G41" s="422"/>
      <c r="H41" s="406">
        <f t="shared" si="0"/>
        <v>3600</v>
      </c>
      <c r="I41" s="427"/>
    </row>
    <row r="42" spans="2:12" ht="15.75" thickBot="1" x14ac:dyDescent="0.3">
      <c r="B42" s="421" t="s">
        <v>762</v>
      </c>
      <c r="C42" s="422"/>
      <c r="D42" s="422"/>
      <c r="E42" s="422"/>
      <c r="F42" s="422"/>
      <c r="G42" s="422"/>
      <c r="H42" s="406"/>
      <c r="I42" s="427"/>
      <c r="J42" s="444"/>
    </row>
    <row r="43" spans="2:12" ht="15.75" thickBot="1" x14ac:dyDescent="0.3">
      <c r="B43" s="445"/>
      <c r="C43" s="446"/>
      <c r="D43" s="446"/>
      <c r="E43" s="446"/>
      <c r="F43" s="446"/>
      <c r="G43" s="446"/>
      <c r="H43" s="415">
        <f>+D39+D40+D41</f>
        <v>9750</v>
      </c>
      <c r="I43" s="416">
        <f>SUM(I39:I42)</f>
        <v>6150</v>
      </c>
      <c r="J43" s="444"/>
    </row>
    <row r="44" spans="2:12" ht="15.75" thickBot="1" x14ac:dyDescent="0.3">
      <c r="B44" s="445" t="s">
        <v>749</v>
      </c>
      <c r="C44" s="446"/>
      <c r="D44" s="446" t="s">
        <v>750</v>
      </c>
      <c r="E44" s="446" t="s">
        <v>823</v>
      </c>
      <c r="F44" s="446"/>
      <c r="G44" s="446"/>
      <c r="H44" s="415">
        <v>450</v>
      </c>
      <c r="I44" s="447">
        <v>0</v>
      </c>
      <c r="J44" s="444"/>
    </row>
    <row r="45" spans="2:12" x14ac:dyDescent="0.25">
      <c r="B45" s="418" t="s">
        <v>763</v>
      </c>
      <c r="C45" s="419"/>
      <c r="D45" s="419"/>
      <c r="E45" s="419"/>
      <c r="F45" s="419"/>
      <c r="G45" s="419"/>
      <c r="H45" s="405"/>
      <c r="I45" s="420"/>
      <c r="J45" s="444"/>
    </row>
    <row r="46" spans="2:12" x14ac:dyDescent="0.25">
      <c r="B46" s="421" t="s">
        <v>743</v>
      </c>
      <c r="C46" s="422" t="s">
        <v>744</v>
      </c>
      <c r="D46" s="422" t="s">
        <v>627</v>
      </c>
      <c r="E46" s="422"/>
      <c r="F46" s="422"/>
      <c r="G46" s="422"/>
      <c r="H46" s="406"/>
      <c r="I46" s="427"/>
    </row>
    <row r="47" spans="2:12" x14ac:dyDescent="0.25">
      <c r="B47" s="425">
        <v>40442</v>
      </c>
      <c r="C47" s="422" t="s">
        <v>764</v>
      </c>
      <c r="D47" s="422">
        <v>36000</v>
      </c>
      <c r="E47" s="422"/>
      <c r="F47" s="422"/>
      <c r="G47" s="422"/>
      <c r="H47" s="406"/>
      <c r="I47" s="427"/>
    </row>
    <row r="48" spans="2:12" ht="15.75" thickBot="1" x14ac:dyDescent="0.3">
      <c r="B48" s="430"/>
      <c r="C48" s="435"/>
      <c r="D48" s="435"/>
      <c r="E48" s="435"/>
      <c r="F48" s="435"/>
      <c r="G48" s="435"/>
      <c r="H48" s="409">
        <f>-D47</f>
        <v>-36000</v>
      </c>
      <c r="I48" s="410">
        <f>+H48</f>
        <v>-36000</v>
      </c>
    </row>
    <row r="49" spans="2:9" ht="15.75" thickBot="1" x14ac:dyDescent="0.3">
      <c r="B49" s="445" t="s">
        <v>765</v>
      </c>
      <c r="C49" s="446"/>
      <c r="D49" s="446"/>
      <c r="E49" s="446"/>
      <c r="F49" s="446"/>
      <c r="G49" s="446"/>
      <c r="H49" s="583">
        <f>+H43+H44+H48+H36</f>
        <v>3150</v>
      </c>
      <c r="I49" s="416">
        <f>+I43+I44+I48+I36</f>
        <v>-6700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showGridLines="0" topLeftCell="A99" workbookViewId="0">
      <selection activeCell="H114" sqref="H114"/>
    </sheetView>
  </sheetViews>
  <sheetFormatPr baseColWidth="10" defaultColWidth="11.42578125" defaultRowHeight="12.75" x14ac:dyDescent="0.2"/>
  <cols>
    <col min="1" max="1" width="3.5703125" style="586" customWidth="1"/>
    <col min="2" max="2" width="31.7109375" style="586" customWidth="1"/>
    <col min="3" max="3" width="13.42578125" style="586" bestFit="1" customWidth="1"/>
    <col min="4" max="5" width="14" style="586" bestFit="1" customWidth="1"/>
    <col min="6" max="7" width="14" style="586" customWidth="1"/>
    <col min="8" max="8" width="14" style="586" bestFit="1" customWidth="1"/>
    <col min="9" max="9" width="14" style="586" customWidth="1"/>
    <col min="10" max="10" width="0.28515625" style="586" customWidth="1"/>
    <col min="11" max="11" width="11.5703125" style="586" hidden="1" customWidth="1"/>
    <col min="12" max="258" width="11.42578125" style="586"/>
    <col min="259" max="259" width="3.5703125" style="586" customWidth="1"/>
    <col min="260" max="260" width="31.7109375" style="586" customWidth="1"/>
    <col min="261" max="261" width="13.42578125" style="586" bestFit="1" customWidth="1"/>
    <col min="262" max="264" width="14" style="586" bestFit="1" customWidth="1"/>
    <col min="265" max="265" width="13.7109375" style="586" bestFit="1" customWidth="1"/>
    <col min="266" max="267" width="11.5703125" style="586" bestFit="1" customWidth="1"/>
    <col min="268" max="514" width="11.42578125" style="586"/>
    <col min="515" max="515" width="3.5703125" style="586" customWidth="1"/>
    <col min="516" max="516" width="31.7109375" style="586" customWidth="1"/>
    <col min="517" max="517" width="13.42578125" style="586" bestFit="1" customWidth="1"/>
    <col min="518" max="520" width="14" style="586" bestFit="1" customWidth="1"/>
    <col min="521" max="521" width="13.7109375" style="586" bestFit="1" customWidth="1"/>
    <col min="522" max="523" width="11.5703125" style="586" bestFit="1" customWidth="1"/>
    <col min="524" max="770" width="11.42578125" style="586"/>
    <col min="771" max="771" width="3.5703125" style="586" customWidth="1"/>
    <col min="772" max="772" width="31.7109375" style="586" customWidth="1"/>
    <col min="773" max="773" width="13.42578125" style="586" bestFit="1" customWidth="1"/>
    <col min="774" max="776" width="14" style="586" bestFit="1" customWidth="1"/>
    <col min="777" max="777" width="13.7109375" style="586" bestFit="1" customWidth="1"/>
    <col min="778" max="779" width="11.5703125" style="586" bestFit="1" customWidth="1"/>
    <col min="780" max="1026" width="11.42578125" style="586"/>
    <col min="1027" max="1027" width="3.5703125" style="586" customWidth="1"/>
    <col min="1028" max="1028" width="31.7109375" style="586" customWidth="1"/>
    <col min="1029" max="1029" width="13.42578125" style="586" bestFit="1" customWidth="1"/>
    <col min="1030" max="1032" width="14" style="586" bestFit="1" customWidth="1"/>
    <col min="1033" max="1033" width="13.7109375" style="586" bestFit="1" customWidth="1"/>
    <col min="1034" max="1035" width="11.5703125" style="586" bestFit="1" customWidth="1"/>
    <col min="1036" max="1282" width="11.42578125" style="586"/>
    <col min="1283" max="1283" width="3.5703125" style="586" customWidth="1"/>
    <col min="1284" max="1284" width="31.7109375" style="586" customWidth="1"/>
    <col min="1285" max="1285" width="13.42578125" style="586" bestFit="1" customWidth="1"/>
    <col min="1286" max="1288" width="14" style="586" bestFit="1" customWidth="1"/>
    <col min="1289" max="1289" width="13.7109375" style="586" bestFit="1" customWidth="1"/>
    <col min="1290" max="1291" width="11.5703125" style="586" bestFit="1" customWidth="1"/>
    <col min="1292" max="1538" width="11.42578125" style="586"/>
    <col min="1539" max="1539" width="3.5703125" style="586" customWidth="1"/>
    <col min="1540" max="1540" width="31.7109375" style="586" customWidth="1"/>
    <col min="1541" max="1541" width="13.42578125" style="586" bestFit="1" customWidth="1"/>
    <col min="1542" max="1544" width="14" style="586" bestFit="1" customWidth="1"/>
    <col min="1545" max="1545" width="13.7109375" style="586" bestFit="1" customWidth="1"/>
    <col min="1546" max="1547" width="11.5703125" style="586" bestFit="1" customWidth="1"/>
    <col min="1548" max="1794" width="11.42578125" style="586"/>
    <col min="1795" max="1795" width="3.5703125" style="586" customWidth="1"/>
    <col min="1796" max="1796" width="31.7109375" style="586" customWidth="1"/>
    <col min="1797" max="1797" width="13.42578125" style="586" bestFit="1" customWidth="1"/>
    <col min="1798" max="1800" width="14" style="586" bestFit="1" customWidth="1"/>
    <col min="1801" max="1801" width="13.7109375" style="586" bestFit="1" customWidth="1"/>
    <col min="1802" max="1803" width="11.5703125" style="586" bestFit="1" customWidth="1"/>
    <col min="1804" max="2050" width="11.42578125" style="586"/>
    <col min="2051" max="2051" width="3.5703125" style="586" customWidth="1"/>
    <col min="2052" max="2052" width="31.7109375" style="586" customWidth="1"/>
    <col min="2053" max="2053" width="13.42578125" style="586" bestFit="1" customWidth="1"/>
    <col min="2054" max="2056" width="14" style="586" bestFit="1" customWidth="1"/>
    <col min="2057" max="2057" width="13.7109375" style="586" bestFit="1" customWidth="1"/>
    <col min="2058" max="2059" width="11.5703125" style="586" bestFit="1" customWidth="1"/>
    <col min="2060" max="2306" width="11.42578125" style="586"/>
    <col min="2307" max="2307" width="3.5703125" style="586" customWidth="1"/>
    <col min="2308" max="2308" width="31.7109375" style="586" customWidth="1"/>
    <col min="2309" max="2309" width="13.42578125" style="586" bestFit="1" customWidth="1"/>
    <col min="2310" max="2312" width="14" style="586" bestFit="1" customWidth="1"/>
    <col min="2313" max="2313" width="13.7109375" style="586" bestFit="1" customWidth="1"/>
    <col min="2314" max="2315" width="11.5703125" style="586" bestFit="1" customWidth="1"/>
    <col min="2316" max="2562" width="11.42578125" style="586"/>
    <col min="2563" max="2563" width="3.5703125" style="586" customWidth="1"/>
    <col min="2564" max="2564" width="31.7109375" style="586" customWidth="1"/>
    <col min="2565" max="2565" width="13.42578125" style="586" bestFit="1" customWidth="1"/>
    <col min="2566" max="2568" width="14" style="586" bestFit="1" customWidth="1"/>
    <col min="2569" max="2569" width="13.7109375" style="586" bestFit="1" customWidth="1"/>
    <col min="2570" max="2571" width="11.5703125" style="586" bestFit="1" customWidth="1"/>
    <col min="2572" max="2818" width="11.42578125" style="586"/>
    <col min="2819" max="2819" width="3.5703125" style="586" customWidth="1"/>
    <col min="2820" max="2820" width="31.7109375" style="586" customWidth="1"/>
    <col min="2821" max="2821" width="13.42578125" style="586" bestFit="1" customWidth="1"/>
    <col min="2822" max="2824" width="14" style="586" bestFit="1" customWidth="1"/>
    <col min="2825" max="2825" width="13.7109375" style="586" bestFit="1" customWidth="1"/>
    <col min="2826" max="2827" width="11.5703125" style="586" bestFit="1" customWidth="1"/>
    <col min="2828" max="3074" width="11.42578125" style="586"/>
    <col min="3075" max="3075" width="3.5703125" style="586" customWidth="1"/>
    <col min="3076" max="3076" width="31.7109375" style="586" customWidth="1"/>
    <col min="3077" max="3077" width="13.42578125" style="586" bestFit="1" customWidth="1"/>
    <col min="3078" max="3080" width="14" style="586" bestFit="1" customWidth="1"/>
    <col min="3081" max="3081" width="13.7109375" style="586" bestFit="1" customWidth="1"/>
    <col min="3082" max="3083" width="11.5703125" style="586" bestFit="1" customWidth="1"/>
    <col min="3084" max="3330" width="11.42578125" style="586"/>
    <col min="3331" max="3331" width="3.5703125" style="586" customWidth="1"/>
    <col min="3332" max="3332" width="31.7109375" style="586" customWidth="1"/>
    <col min="3333" max="3333" width="13.42578125" style="586" bestFit="1" customWidth="1"/>
    <col min="3334" max="3336" width="14" style="586" bestFit="1" customWidth="1"/>
    <col min="3337" max="3337" width="13.7109375" style="586" bestFit="1" customWidth="1"/>
    <col min="3338" max="3339" width="11.5703125" style="586" bestFit="1" customWidth="1"/>
    <col min="3340" max="3586" width="11.42578125" style="586"/>
    <col min="3587" max="3587" width="3.5703125" style="586" customWidth="1"/>
    <col min="3588" max="3588" width="31.7109375" style="586" customWidth="1"/>
    <col min="3589" max="3589" width="13.42578125" style="586" bestFit="1" customWidth="1"/>
    <col min="3590" max="3592" width="14" style="586" bestFit="1" customWidth="1"/>
    <col min="3593" max="3593" width="13.7109375" style="586" bestFit="1" customWidth="1"/>
    <col min="3594" max="3595" width="11.5703125" style="586" bestFit="1" customWidth="1"/>
    <col min="3596" max="3842" width="11.42578125" style="586"/>
    <col min="3843" max="3843" width="3.5703125" style="586" customWidth="1"/>
    <col min="3844" max="3844" width="31.7109375" style="586" customWidth="1"/>
    <col min="3845" max="3845" width="13.42578125" style="586" bestFit="1" customWidth="1"/>
    <col min="3846" max="3848" width="14" style="586" bestFit="1" customWidth="1"/>
    <col min="3849" max="3849" width="13.7109375" style="586" bestFit="1" customWidth="1"/>
    <col min="3850" max="3851" width="11.5703125" style="586" bestFit="1" customWidth="1"/>
    <col min="3852" max="4098" width="11.42578125" style="586"/>
    <col min="4099" max="4099" width="3.5703125" style="586" customWidth="1"/>
    <col min="4100" max="4100" width="31.7109375" style="586" customWidth="1"/>
    <col min="4101" max="4101" width="13.42578125" style="586" bestFit="1" customWidth="1"/>
    <col min="4102" max="4104" width="14" style="586" bestFit="1" customWidth="1"/>
    <col min="4105" max="4105" width="13.7109375" style="586" bestFit="1" customWidth="1"/>
    <col min="4106" max="4107" width="11.5703125" style="586" bestFit="1" customWidth="1"/>
    <col min="4108" max="4354" width="11.42578125" style="586"/>
    <col min="4355" max="4355" width="3.5703125" style="586" customWidth="1"/>
    <col min="4356" max="4356" width="31.7109375" style="586" customWidth="1"/>
    <col min="4357" max="4357" width="13.42578125" style="586" bestFit="1" customWidth="1"/>
    <col min="4358" max="4360" width="14" style="586" bestFit="1" customWidth="1"/>
    <col min="4361" max="4361" width="13.7109375" style="586" bestFit="1" customWidth="1"/>
    <col min="4362" max="4363" width="11.5703125" style="586" bestFit="1" customWidth="1"/>
    <col min="4364" max="4610" width="11.42578125" style="586"/>
    <col min="4611" max="4611" width="3.5703125" style="586" customWidth="1"/>
    <col min="4612" max="4612" width="31.7109375" style="586" customWidth="1"/>
    <col min="4613" max="4613" width="13.42578125" style="586" bestFit="1" customWidth="1"/>
    <col min="4614" max="4616" width="14" style="586" bestFit="1" customWidth="1"/>
    <col min="4617" max="4617" width="13.7109375" style="586" bestFit="1" customWidth="1"/>
    <col min="4618" max="4619" width="11.5703125" style="586" bestFit="1" customWidth="1"/>
    <col min="4620" max="4866" width="11.42578125" style="586"/>
    <col min="4867" max="4867" width="3.5703125" style="586" customWidth="1"/>
    <col min="4868" max="4868" width="31.7109375" style="586" customWidth="1"/>
    <col min="4869" max="4869" width="13.42578125" style="586" bestFit="1" customWidth="1"/>
    <col min="4870" max="4872" width="14" style="586" bestFit="1" customWidth="1"/>
    <col min="4873" max="4873" width="13.7109375" style="586" bestFit="1" customWidth="1"/>
    <col min="4874" max="4875" width="11.5703125" style="586" bestFit="1" customWidth="1"/>
    <col min="4876" max="5122" width="11.42578125" style="586"/>
    <col min="5123" max="5123" width="3.5703125" style="586" customWidth="1"/>
    <col min="5124" max="5124" width="31.7109375" style="586" customWidth="1"/>
    <col min="5125" max="5125" width="13.42578125" style="586" bestFit="1" customWidth="1"/>
    <col min="5126" max="5128" width="14" style="586" bestFit="1" customWidth="1"/>
    <col min="5129" max="5129" width="13.7109375" style="586" bestFit="1" customWidth="1"/>
    <col min="5130" max="5131" width="11.5703125" style="586" bestFit="1" customWidth="1"/>
    <col min="5132" max="5378" width="11.42578125" style="586"/>
    <col min="5379" max="5379" width="3.5703125" style="586" customWidth="1"/>
    <col min="5380" max="5380" width="31.7109375" style="586" customWidth="1"/>
    <col min="5381" max="5381" width="13.42578125" style="586" bestFit="1" customWidth="1"/>
    <col min="5382" max="5384" width="14" style="586" bestFit="1" customWidth="1"/>
    <col min="5385" max="5385" width="13.7109375" style="586" bestFit="1" customWidth="1"/>
    <col min="5386" max="5387" width="11.5703125" style="586" bestFit="1" customWidth="1"/>
    <col min="5388" max="5634" width="11.42578125" style="586"/>
    <col min="5635" max="5635" width="3.5703125" style="586" customWidth="1"/>
    <col min="5636" max="5636" width="31.7109375" style="586" customWidth="1"/>
    <col min="5637" max="5637" width="13.42578125" style="586" bestFit="1" customWidth="1"/>
    <col min="5638" max="5640" width="14" style="586" bestFit="1" customWidth="1"/>
    <col min="5641" max="5641" width="13.7109375" style="586" bestFit="1" customWidth="1"/>
    <col min="5642" max="5643" width="11.5703125" style="586" bestFit="1" customWidth="1"/>
    <col min="5644" max="5890" width="11.42578125" style="586"/>
    <col min="5891" max="5891" width="3.5703125" style="586" customWidth="1"/>
    <col min="5892" max="5892" width="31.7109375" style="586" customWidth="1"/>
    <col min="5893" max="5893" width="13.42578125" style="586" bestFit="1" customWidth="1"/>
    <col min="5894" max="5896" width="14" style="586" bestFit="1" customWidth="1"/>
    <col min="5897" max="5897" width="13.7109375" style="586" bestFit="1" customWidth="1"/>
    <col min="5898" max="5899" width="11.5703125" style="586" bestFit="1" customWidth="1"/>
    <col min="5900" max="6146" width="11.42578125" style="586"/>
    <col min="6147" max="6147" width="3.5703125" style="586" customWidth="1"/>
    <col min="6148" max="6148" width="31.7109375" style="586" customWidth="1"/>
    <col min="6149" max="6149" width="13.42578125" style="586" bestFit="1" customWidth="1"/>
    <col min="6150" max="6152" width="14" style="586" bestFit="1" customWidth="1"/>
    <col min="6153" max="6153" width="13.7109375" style="586" bestFit="1" customWidth="1"/>
    <col min="6154" max="6155" width="11.5703125" style="586" bestFit="1" customWidth="1"/>
    <col min="6156" max="6402" width="11.42578125" style="586"/>
    <col min="6403" max="6403" width="3.5703125" style="586" customWidth="1"/>
    <col min="6404" max="6404" width="31.7109375" style="586" customWidth="1"/>
    <col min="6405" max="6405" width="13.42578125" style="586" bestFit="1" customWidth="1"/>
    <col min="6406" max="6408" width="14" style="586" bestFit="1" customWidth="1"/>
    <col min="6409" max="6409" width="13.7109375" style="586" bestFit="1" customWidth="1"/>
    <col min="6410" max="6411" width="11.5703125" style="586" bestFit="1" customWidth="1"/>
    <col min="6412" max="6658" width="11.42578125" style="586"/>
    <col min="6659" max="6659" width="3.5703125" style="586" customWidth="1"/>
    <col min="6660" max="6660" width="31.7109375" style="586" customWidth="1"/>
    <col min="6661" max="6661" width="13.42578125" style="586" bestFit="1" customWidth="1"/>
    <col min="6662" max="6664" width="14" style="586" bestFit="1" customWidth="1"/>
    <col min="6665" max="6665" width="13.7109375" style="586" bestFit="1" customWidth="1"/>
    <col min="6666" max="6667" width="11.5703125" style="586" bestFit="1" customWidth="1"/>
    <col min="6668" max="6914" width="11.42578125" style="586"/>
    <col min="6915" max="6915" width="3.5703125" style="586" customWidth="1"/>
    <col min="6916" max="6916" width="31.7109375" style="586" customWidth="1"/>
    <col min="6917" max="6917" width="13.42578125" style="586" bestFit="1" customWidth="1"/>
    <col min="6918" max="6920" width="14" style="586" bestFit="1" customWidth="1"/>
    <col min="6921" max="6921" width="13.7109375" style="586" bestFit="1" customWidth="1"/>
    <col min="6922" max="6923" width="11.5703125" style="586" bestFit="1" customWidth="1"/>
    <col min="6924" max="7170" width="11.42578125" style="586"/>
    <col min="7171" max="7171" width="3.5703125" style="586" customWidth="1"/>
    <col min="7172" max="7172" width="31.7109375" style="586" customWidth="1"/>
    <col min="7173" max="7173" width="13.42578125" style="586" bestFit="1" customWidth="1"/>
    <col min="7174" max="7176" width="14" style="586" bestFit="1" customWidth="1"/>
    <col min="7177" max="7177" width="13.7109375" style="586" bestFit="1" customWidth="1"/>
    <col min="7178" max="7179" width="11.5703125" style="586" bestFit="1" customWidth="1"/>
    <col min="7180" max="7426" width="11.42578125" style="586"/>
    <col min="7427" max="7427" width="3.5703125" style="586" customWidth="1"/>
    <col min="7428" max="7428" width="31.7109375" style="586" customWidth="1"/>
    <col min="7429" max="7429" width="13.42578125" style="586" bestFit="1" customWidth="1"/>
    <col min="7430" max="7432" width="14" style="586" bestFit="1" customWidth="1"/>
    <col min="7433" max="7433" width="13.7109375" style="586" bestFit="1" customWidth="1"/>
    <col min="7434" max="7435" width="11.5703125" style="586" bestFit="1" customWidth="1"/>
    <col min="7436" max="7682" width="11.42578125" style="586"/>
    <col min="7683" max="7683" width="3.5703125" style="586" customWidth="1"/>
    <col min="7684" max="7684" width="31.7109375" style="586" customWidth="1"/>
    <col min="7685" max="7685" width="13.42578125" style="586" bestFit="1" customWidth="1"/>
    <col min="7686" max="7688" width="14" style="586" bestFit="1" customWidth="1"/>
    <col min="7689" max="7689" width="13.7109375" style="586" bestFit="1" customWidth="1"/>
    <col min="7690" max="7691" width="11.5703125" style="586" bestFit="1" customWidth="1"/>
    <col min="7692" max="7938" width="11.42578125" style="586"/>
    <col min="7939" max="7939" width="3.5703125" style="586" customWidth="1"/>
    <col min="7940" max="7940" width="31.7109375" style="586" customWidth="1"/>
    <col min="7941" max="7941" width="13.42578125" style="586" bestFit="1" customWidth="1"/>
    <col min="7942" max="7944" width="14" style="586" bestFit="1" customWidth="1"/>
    <col min="7945" max="7945" width="13.7109375" style="586" bestFit="1" customWidth="1"/>
    <col min="7946" max="7947" width="11.5703125" style="586" bestFit="1" customWidth="1"/>
    <col min="7948" max="8194" width="11.42578125" style="586"/>
    <col min="8195" max="8195" width="3.5703125" style="586" customWidth="1"/>
    <col min="8196" max="8196" width="31.7109375" style="586" customWidth="1"/>
    <col min="8197" max="8197" width="13.42578125" style="586" bestFit="1" customWidth="1"/>
    <col min="8198" max="8200" width="14" style="586" bestFit="1" customWidth="1"/>
    <col min="8201" max="8201" width="13.7109375" style="586" bestFit="1" customWidth="1"/>
    <col min="8202" max="8203" width="11.5703125" style="586" bestFit="1" customWidth="1"/>
    <col min="8204" max="8450" width="11.42578125" style="586"/>
    <col min="8451" max="8451" width="3.5703125" style="586" customWidth="1"/>
    <col min="8452" max="8452" width="31.7109375" style="586" customWidth="1"/>
    <col min="8453" max="8453" width="13.42578125" style="586" bestFit="1" customWidth="1"/>
    <col min="8454" max="8456" width="14" style="586" bestFit="1" customWidth="1"/>
    <col min="8457" max="8457" width="13.7109375" style="586" bestFit="1" customWidth="1"/>
    <col min="8458" max="8459" width="11.5703125" style="586" bestFit="1" customWidth="1"/>
    <col min="8460" max="8706" width="11.42578125" style="586"/>
    <col min="8707" max="8707" width="3.5703125" style="586" customWidth="1"/>
    <col min="8708" max="8708" width="31.7109375" style="586" customWidth="1"/>
    <col min="8709" max="8709" width="13.42578125" style="586" bestFit="1" customWidth="1"/>
    <col min="8710" max="8712" width="14" style="586" bestFit="1" customWidth="1"/>
    <col min="8713" max="8713" width="13.7109375" style="586" bestFit="1" customWidth="1"/>
    <col min="8714" max="8715" width="11.5703125" style="586" bestFit="1" customWidth="1"/>
    <col min="8716" max="8962" width="11.42578125" style="586"/>
    <col min="8963" max="8963" width="3.5703125" style="586" customWidth="1"/>
    <col min="8964" max="8964" width="31.7109375" style="586" customWidth="1"/>
    <col min="8965" max="8965" width="13.42578125" style="586" bestFit="1" customWidth="1"/>
    <col min="8966" max="8968" width="14" style="586" bestFit="1" customWidth="1"/>
    <col min="8969" max="8969" width="13.7109375" style="586" bestFit="1" customWidth="1"/>
    <col min="8970" max="8971" width="11.5703125" style="586" bestFit="1" customWidth="1"/>
    <col min="8972" max="9218" width="11.42578125" style="586"/>
    <col min="9219" max="9219" width="3.5703125" style="586" customWidth="1"/>
    <col min="9220" max="9220" width="31.7109375" style="586" customWidth="1"/>
    <col min="9221" max="9221" width="13.42578125" style="586" bestFit="1" customWidth="1"/>
    <col min="9222" max="9224" width="14" style="586" bestFit="1" customWidth="1"/>
    <col min="9225" max="9225" width="13.7109375" style="586" bestFit="1" customWidth="1"/>
    <col min="9226" max="9227" width="11.5703125" style="586" bestFit="1" customWidth="1"/>
    <col min="9228" max="9474" width="11.42578125" style="586"/>
    <col min="9475" max="9475" width="3.5703125" style="586" customWidth="1"/>
    <col min="9476" max="9476" width="31.7109375" style="586" customWidth="1"/>
    <col min="9477" max="9477" width="13.42578125" style="586" bestFit="1" customWidth="1"/>
    <col min="9478" max="9480" width="14" style="586" bestFit="1" customWidth="1"/>
    <col min="9481" max="9481" width="13.7109375" style="586" bestFit="1" customWidth="1"/>
    <col min="9482" max="9483" width="11.5703125" style="586" bestFit="1" customWidth="1"/>
    <col min="9484" max="9730" width="11.42578125" style="586"/>
    <col min="9731" max="9731" width="3.5703125" style="586" customWidth="1"/>
    <col min="9732" max="9732" width="31.7109375" style="586" customWidth="1"/>
    <col min="9733" max="9733" width="13.42578125" style="586" bestFit="1" customWidth="1"/>
    <col min="9734" max="9736" width="14" style="586" bestFit="1" customWidth="1"/>
    <col min="9737" max="9737" width="13.7109375" style="586" bestFit="1" customWidth="1"/>
    <col min="9738" max="9739" width="11.5703125" style="586" bestFit="1" customWidth="1"/>
    <col min="9740" max="9986" width="11.42578125" style="586"/>
    <col min="9987" max="9987" width="3.5703125" style="586" customWidth="1"/>
    <col min="9988" max="9988" width="31.7109375" style="586" customWidth="1"/>
    <col min="9989" max="9989" width="13.42578125" style="586" bestFit="1" customWidth="1"/>
    <col min="9990" max="9992" width="14" style="586" bestFit="1" customWidth="1"/>
    <col min="9993" max="9993" width="13.7109375" style="586" bestFit="1" customWidth="1"/>
    <col min="9994" max="9995" width="11.5703125" style="586" bestFit="1" customWidth="1"/>
    <col min="9996" max="10242" width="11.42578125" style="586"/>
    <col min="10243" max="10243" width="3.5703125" style="586" customWidth="1"/>
    <col min="10244" max="10244" width="31.7109375" style="586" customWidth="1"/>
    <col min="10245" max="10245" width="13.42578125" style="586" bestFit="1" customWidth="1"/>
    <col min="10246" max="10248" width="14" style="586" bestFit="1" customWidth="1"/>
    <col min="10249" max="10249" width="13.7109375" style="586" bestFit="1" customWidth="1"/>
    <col min="10250" max="10251" width="11.5703125" style="586" bestFit="1" customWidth="1"/>
    <col min="10252" max="10498" width="11.42578125" style="586"/>
    <col min="10499" max="10499" width="3.5703125" style="586" customWidth="1"/>
    <col min="10500" max="10500" width="31.7109375" style="586" customWidth="1"/>
    <col min="10501" max="10501" width="13.42578125" style="586" bestFit="1" customWidth="1"/>
    <col min="10502" max="10504" width="14" style="586" bestFit="1" customWidth="1"/>
    <col min="10505" max="10505" width="13.7109375" style="586" bestFit="1" customWidth="1"/>
    <col min="10506" max="10507" width="11.5703125" style="586" bestFit="1" customWidth="1"/>
    <col min="10508" max="10754" width="11.42578125" style="586"/>
    <col min="10755" max="10755" width="3.5703125" style="586" customWidth="1"/>
    <col min="10756" max="10756" width="31.7109375" style="586" customWidth="1"/>
    <col min="10757" max="10757" width="13.42578125" style="586" bestFit="1" customWidth="1"/>
    <col min="10758" max="10760" width="14" style="586" bestFit="1" customWidth="1"/>
    <col min="10761" max="10761" width="13.7109375" style="586" bestFit="1" customWidth="1"/>
    <col min="10762" max="10763" width="11.5703125" style="586" bestFit="1" customWidth="1"/>
    <col min="10764" max="11010" width="11.42578125" style="586"/>
    <col min="11011" max="11011" width="3.5703125" style="586" customWidth="1"/>
    <col min="11012" max="11012" width="31.7109375" style="586" customWidth="1"/>
    <col min="11013" max="11013" width="13.42578125" style="586" bestFit="1" customWidth="1"/>
    <col min="11014" max="11016" width="14" style="586" bestFit="1" customWidth="1"/>
    <col min="11017" max="11017" width="13.7109375" style="586" bestFit="1" customWidth="1"/>
    <col min="11018" max="11019" width="11.5703125" style="586" bestFit="1" customWidth="1"/>
    <col min="11020" max="11266" width="11.42578125" style="586"/>
    <col min="11267" max="11267" width="3.5703125" style="586" customWidth="1"/>
    <col min="11268" max="11268" width="31.7109375" style="586" customWidth="1"/>
    <col min="11269" max="11269" width="13.42578125" style="586" bestFit="1" customWidth="1"/>
    <col min="11270" max="11272" width="14" style="586" bestFit="1" customWidth="1"/>
    <col min="11273" max="11273" width="13.7109375" style="586" bestFit="1" customWidth="1"/>
    <col min="11274" max="11275" width="11.5703125" style="586" bestFit="1" customWidth="1"/>
    <col min="11276" max="11522" width="11.42578125" style="586"/>
    <col min="11523" max="11523" width="3.5703125" style="586" customWidth="1"/>
    <col min="11524" max="11524" width="31.7109375" style="586" customWidth="1"/>
    <col min="11525" max="11525" width="13.42578125" style="586" bestFit="1" customWidth="1"/>
    <col min="11526" max="11528" width="14" style="586" bestFit="1" customWidth="1"/>
    <col min="11529" max="11529" width="13.7109375" style="586" bestFit="1" customWidth="1"/>
    <col min="11530" max="11531" width="11.5703125" style="586" bestFit="1" customWidth="1"/>
    <col min="11532" max="11778" width="11.42578125" style="586"/>
    <col min="11779" max="11779" width="3.5703125" style="586" customWidth="1"/>
    <col min="11780" max="11780" width="31.7109375" style="586" customWidth="1"/>
    <col min="11781" max="11781" width="13.42578125" style="586" bestFit="1" customWidth="1"/>
    <col min="11782" max="11784" width="14" style="586" bestFit="1" customWidth="1"/>
    <col min="11785" max="11785" width="13.7109375" style="586" bestFit="1" customWidth="1"/>
    <col min="11786" max="11787" width="11.5703125" style="586" bestFit="1" customWidth="1"/>
    <col min="11788" max="12034" width="11.42578125" style="586"/>
    <col min="12035" max="12035" width="3.5703125" style="586" customWidth="1"/>
    <col min="12036" max="12036" width="31.7109375" style="586" customWidth="1"/>
    <col min="12037" max="12037" width="13.42578125" style="586" bestFit="1" customWidth="1"/>
    <col min="12038" max="12040" width="14" style="586" bestFit="1" customWidth="1"/>
    <col min="12041" max="12041" width="13.7109375" style="586" bestFit="1" customWidth="1"/>
    <col min="12042" max="12043" width="11.5703125" style="586" bestFit="1" customWidth="1"/>
    <col min="12044" max="12290" width="11.42578125" style="586"/>
    <col min="12291" max="12291" width="3.5703125" style="586" customWidth="1"/>
    <col min="12292" max="12292" width="31.7109375" style="586" customWidth="1"/>
    <col min="12293" max="12293" width="13.42578125" style="586" bestFit="1" customWidth="1"/>
    <col min="12294" max="12296" width="14" style="586" bestFit="1" customWidth="1"/>
    <col min="12297" max="12297" width="13.7109375" style="586" bestFit="1" customWidth="1"/>
    <col min="12298" max="12299" width="11.5703125" style="586" bestFit="1" customWidth="1"/>
    <col min="12300" max="12546" width="11.42578125" style="586"/>
    <col min="12547" max="12547" width="3.5703125" style="586" customWidth="1"/>
    <col min="12548" max="12548" width="31.7109375" style="586" customWidth="1"/>
    <col min="12549" max="12549" width="13.42578125" style="586" bestFit="1" customWidth="1"/>
    <col min="12550" max="12552" width="14" style="586" bestFit="1" customWidth="1"/>
    <col min="12553" max="12553" width="13.7109375" style="586" bestFit="1" customWidth="1"/>
    <col min="12554" max="12555" width="11.5703125" style="586" bestFit="1" customWidth="1"/>
    <col min="12556" max="12802" width="11.42578125" style="586"/>
    <col min="12803" max="12803" width="3.5703125" style="586" customWidth="1"/>
    <col min="12804" max="12804" width="31.7109375" style="586" customWidth="1"/>
    <col min="12805" max="12805" width="13.42578125" style="586" bestFit="1" customWidth="1"/>
    <col min="12806" max="12808" width="14" style="586" bestFit="1" customWidth="1"/>
    <col min="12809" max="12809" width="13.7109375" style="586" bestFit="1" customWidth="1"/>
    <col min="12810" max="12811" width="11.5703125" style="586" bestFit="1" customWidth="1"/>
    <col min="12812" max="13058" width="11.42578125" style="586"/>
    <col min="13059" max="13059" width="3.5703125" style="586" customWidth="1"/>
    <col min="13060" max="13060" width="31.7109375" style="586" customWidth="1"/>
    <col min="13061" max="13061" width="13.42578125" style="586" bestFit="1" customWidth="1"/>
    <col min="13062" max="13064" width="14" style="586" bestFit="1" customWidth="1"/>
    <col min="13065" max="13065" width="13.7109375" style="586" bestFit="1" customWidth="1"/>
    <col min="13066" max="13067" width="11.5703125" style="586" bestFit="1" customWidth="1"/>
    <col min="13068" max="13314" width="11.42578125" style="586"/>
    <col min="13315" max="13315" width="3.5703125" style="586" customWidth="1"/>
    <col min="13316" max="13316" width="31.7109375" style="586" customWidth="1"/>
    <col min="13317" max="13317" width="13.42578125" style="586" bestFit="1" customWidth="1"/>
    <col min="13318" max="13320" width="14" style="586" bestFit="1" customWidth="1"/>
    <col min="13321" max="13321" width="13.7109375" style="586" bestFit="1" customWidth="1"/>
    <col min="13322" max="13323" width="11.5703125" style="586" bestFit="1" customWidth="1"/>
    <col min="13324" max="13570" width="11.42578125" style="586"/>
    <col min="13571" max="13571" width="3.5703125" style="586" customWidth="1"/>
    <col min="13572" max="13572" width="31.7109375" style="586" customWidth="1"/>
    <col min="13573" max="13573" width="13.42578125" style="586" bestFit="1" customWidth="1"/>
    <col min="13574" max="13576" width="14" style="586" bestFit="1" customWidth="1"/>
    <col min="13577" max="13577" width="13.7109375" style="586" bestFit="1" customWidth="1"/>
    <col min="13578" max="13579" width="11.5703125" style="586" bestFit="1" customWidth="1"/>
    <col min="13580" max="13826" width="11.42578125" style="586"/>
    <col min="13827" max="13827" width="3.5703125" style="586" customWidth="1"/>
    <col min="13828" max="13828" width="31.7109375" style="586" customWidth="1"/>
    <col min="13829" max="13829" width="13.42578125" style="586" bestFit="1" customWidth="1"/>
    <col min="13830" max="13832" width="14" style="586" bestFit="1" customWidth="1"/>
    <col min="13833" max="13833" width="13.7109375" style="586" bestFit="1" customWidth="1"/>
    <col min="13834" max="13835" width="11.5703125" style="586" bestFit="1" customWidth="1"/>
    <col min="13836" max="14082" width="11.42578125" style="586"/>
    <col min="14083" max="14083" width="3.5703125" style="586" customWidth="1"/>
    <col min="14084" max="14084" width="31.7109375" style="586" customWidth="1"/>
    <col min="14085" max="14085" width="13.42578125" style="586" bestFit="1" customWidth="1"/>
    <col min="14086" max="14088" width="14" style="586" bestFit="1" customWidth="1"/>
    <col min="14089" max="14089" width="13.7109375" style="586" bestFit="1" customWidth="1"/>
    <col min="14090" max="14091" width="11.5703125" style="586" bestFit="1" customWidth="1"/>
    <col min="14092" max="14338" width="11.42578125" style="586"/>
    <col min="14339" max="14339" width="3.5703125" style="586" customWidth="1"/>
    <col min="14340" max="14340" width="31.7109375" style="586" customWidth="1"/>
    <col min="14341" max="14341" width="13.42578125" style="586" bestFit="1" customWidth="1"/>
    <col min="14342" max="14344" width="14" style="586" bestFit="1" customWidth="1"/>
    <col min="14345" max="14345" width="13.7109375" style="586" bestFit="1" customWidth="1"/>
    <col min="14346" max="14347" width="11.5703125" style="586" bestFit="1" customWidth="1"/>
    <col min="14348" max="14594" width="11.42578125" style="586"/>
    <col min="14595" max="14595" width="3.5703125" style="586" customWidth="1"/>
    <col min="14596" max="14596" width="31.7109375" style="586" customWidth="1"/>
    <col min="14597" max="14597" width="13.42578125" style="586" bestFit="1" customWidth="1"/>
    <col min="14598" max="14600" width="14" style="586" bestFit="1" customWidth="1"/>
    <col min="14601" max="14601" width="13.7109375" style="586" bestFit="1" customWidth="1"/>
    <col min="14602" max="14603" width="11.5703125" style="586" bestFit="1" customWidth="1"/>
    <col min="14604" max="14850" width="11.42578125" style="586"/>
    <col min="14851" max="14851" width="3.5703125" style="586" customWidth="1"/>
    <col min="14852" max="14852" width="31.7109375" style="586" customWidth="1"/>
    <col min="14853" max="14853" width="13.42578125" style="586" bestFit="1" customWidth="1"/>
    <col min="14854" max="14856" width="14" style="586" bestFit="1" customWidth="1"/>
    <col min="14857" max="14857" width="13.7109375" style="586" bestFit="1" customWidth="1"/>
    <col min="14858" max="14859" width="11.5703125" style="586" bestFit="1" customWidth="1"/>
    <col min="14860" max="15106" width="11.42578125" style="586"/>
    <col min="15107" max="15107" width="3.5703125" style="586" customWidth="1"/>
    <col min="15108" max="15108" width="31.7109375" style="586" customWidth="1"/>
    <col min="15109" max="15109" width="13.42578125" style="586" bestFit="1" customWidth="1"/>
    <col min="15110" max="15112" width="14" style="586" bestFit="1" customWidth="1"/>
    <col min="15113" max="15113" width="13.7109375" style="586" bestFit="1" customWidth="1"/>
    <col min="15114" max="15115" width="11.5703125" style="586" bestFit="1" customWidth="1"/>
    <col min="15116" max="15362" width="11.42578125" style="586"/>
    <col min="15363" max="15363" width="3.5703125" style="586" customWidth="1"/>
    <col min="15364" max="15364" width="31.7109375" style="586" customWidth="1"/>
    <col min="15365" max="15365" width="13.42578125" style="586" bestFit="1" customWidth="1"/>
    <col min="15366" max="15368" width="14" style="586" bestFit="1" customWidth="1"/>
    <col min="15369" max="15369" width="13.7109375" style="586" bestFit="1" customWidth="1"/>
    <col min="15370" max="15371" width="11.5703125" style="586" bestFit="1" customWidth="1"/>
    <col min="15372" max="15618" width="11.42578125" style="586"/>
    <col min="15619" max="15619" width="3.5703125" style="586" customWidth="1"/>
    <col min="15620" max="15620" width="31.7109375" style="586" customWidth="1"/>
    <col min="15621" max="15621" width="13.42578125" style="586" bestFit="1" customWidth="1"/>
    <col min="15622" max="15624" width="14" style="586" bestFit="1" customWidth="1"/>
    <col min="15625" max="15625" width="13.7109375" style="586" bestFit="1" customWidth="1"/>
    <col min="15626" max="15627" width="11.5703125" style="586" bestFit="1" customWidth="1"/>
    <col min="15628" max="15874" width="11.42578125" style="586"/>
    <col min="15875" max="15875" width="3.5703125" style="586" customWidth="1"/>
    <col min="15876" max="15876" width="31.7109375" style="586" customWidth="1"/>
    <col min="15877" max="15877" width="13.42578125" style="586" bestFit="1" customWidth="1"/>
    <col min="15878" max="15880" width="14" style="586" bestFit="1" customWidth="1"/>
    <col min="15881" max="15881" width="13.7109375" style="586" bestFit="1" customWidth="1"/>
    <col min="15882" max="15883" width="11.5703125" style="586" bestFit="1" customWidth="1"/>
    <col min="15884" max="16130" width="11.42578125" style="586"/>
    <col min="16131" max="16131" width="3.5703125" style="586" customWidth="1"/>
    <col min="16132" max="16132" width="31.7109375" style="586" customWidth="1"/>
    <col min="16133" max="16133" width="13.42578125" style="586" bestFit="1" customWidth="1"/>
    <col min="16134" max="16136" width="14" style="586" bestFit="1" customWidth="1"/>
    <col min="16137" max="16137" width="13.7109375" style="586" bestFit="1" customWidth="1"/>
    <col min="16138" max="16139" width="11.5703125" style="586" bestFit="1" customWidth="1"/>
    <col min="16140" max="16384" width="11.42578125" style="586"/>
  </cols>
  <sheetData>
    <row r="1" spans="1:17" ht="15.75" x14ac:dyDescent="0.25">
      <c r="A1" s="584" t="s">
        <v>207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</row>
    <row r="2" spans="1:17" ht="18.75" x14ac:dyDescent="0.3">
      <c r="B2" s="663" t="s">
        <v>49</v>
      </c>
    </row>
    <row r="3" spans="1:17" x14ac:dyDescent="0.2">
      <c r="B3" s="586" t="s">
        <v>208</v>
      </c>
    </row>
    <row r="4" spans="1:17" x14ac:dyDescent="0.2">
      <c r="B4" s="586" t="s">
        <v>50</v>
      </c>
    </row>
    <row r="5" spans="1:17" x14ac:dyDescent="0.2">
      <c r="C5" s="587"/>
      <c r="D5" s="587" t="s">
        <v>51</v>
      </c>
      <c r="E5" s="587" t="s">
        <v>52</v>
      </c>
      <c r="F5" s="587"/>
      <c r="G5" s="587"/>
      <c r="H5" s="587"/>
      <c r="I5" s="587"/>
      <c r="J5" s="587"/>
      <c r="K5" s="587"/>
    </row>
    <row r="6" spans="1:17" x14ac:dyDescent="0.2">
      <c r="B6" s="586" t="s">
        <v>53</v>
      </c>
      <c r="C6" s="587">
        <v>147616</v>
      </c>
      <c r="D6" s="587">
        <f>+C6</f>
        <v>147616</v>
      </c>
      <c r="E6" s="587"/>
      <c r="F6" s="587"/>
      <c r="G6" s="587"/>
      <c r="H6" s="587"/>
      <c r="I6" s="587"/>
      <c r="J6" s="587"/>
      <c r="K6" s="587"/>
    </row>
    <row r="7" spans="1:17" x14ac:dyDescent="0.2">
      <c r="B7" s="586" t="s">
        <v>54</v>
      </c>
      <c r="C7" s="587">
        <v>-33300</v>
      </c>
      <c r="D7" s="587">
        <f>+C7</f>
        <v>-33300</v>
      </c>
      <c r="E7" s="587"/>
      <c r="F7" s="587"/>
      <c r="G7" s="587"/>
      <c r="H7" s="587"/>
      <c r="I7" s="587"/>
      <c r="J7" s="587"/>
      <c r="K7" s="587"/>
    </row>
    <row r="8" spans="1:17" x14ac:dyDescent="0.2">
      <c r="B8" s="586" t="s">
        <v>55</v>
      </c>
      <c r="C8" s="587">
        <v>145325</v>
      </c>
      <c r="D8" s="587"/>
      <c r="E8" s="587">
        <f>+C8</f>
        <v>145325</v>
      </c>
      <c r="F8" s="587"/>
      <c r="G8" s="587"/>
      <c r="H8" s="587"/>
      <c r="I8" s="587"/>
      <c r="J8" s="587"/>
      <c r="K8" s="587"/>
    </row>
    <row r="9" spans="1:17" x14ac:dyDescent="0.2">
      <c r="B9" s="586" t="s">
        <v>56</v>
      </c>
      <c r="C9" s="587">
        <v>25688</v>
      </c>
      <c r="D9" s="587"/>
      <c r="E9" s="587">
        <f>+C9</f>
        <v>25688</v>
      </c>
      <c r="F9" s="587"/>
      <c r="G9" s="587"/>
      <c r="H9" s="587"/>
      <c r="I9" s="587"/>
      <c r="J9" s="587"/>
      <c r="K9" s="587"/>
    </row>
    <row r="10" spans="1:17" x14ac:dyDescent="0.2">
      <c r="B10" s="586" t="s">
        <v>57</v>
      </c>
      <c r="C10" s="587">
        <v>3120</v>
      </c>
      <c r="D10" s="587"/>
      <c r="E10" s="587">
        <f>+C10</f>
        <v>3120</v>
      </c>
      <c r="F10" s="587"/>
      <c r="G10" s="587"/>
      <c r="H10" s="587"/>
      <c r="I10" s="587"/>
      <c r="J10" s="587"/>
      <c r="K10" s="587"/>
    </row>
    <row r="11" spans="1:17" x14ac:dyDescent="0.2">
      <c r="B11" s="586" t="s">
        <v>58</v>
      </c>
      <c r="C11" s="587">
        <v>5388</v>
      </c>
      <c r="D11" s="587">
        <f>+C11</f>
        <v>5388</v>
      </c>
      <c r="E11" s="587"/>
      <c r="F11" s="587"/>
      <c r="G11" s="587"/>
      <c r="H11" s="587"/>
      <c r="I11" s="587"/>
      <c r="J11" s="587"/>
      <c r="K11" s="587"/>
    </row>
    <row r="12" spans="1:17" x14ac:dyDescent="0.2">
      <c r="B12" s="586" t="s">
        <v>59</v>
      </c>
      <c r="C12" s="587">
        <v>-3420</v>
      </c>
      <c r="D12" s="587">
        <f>+C12</f>
        <v>-3420</v>
      </c>
      <c r="E12" s="587"/>
      <c r="F12" s="587"/>
      <c r="G12" s="587"/>
      <c r="H12" s="587"/>
      <c r="I12" s="587"/>
      <c r="J12" s="587"/>
      <c r="K12" s="587"/>
    </row>
    <row r="13" spans="1:17" ht="13.5" thickBot="1" x14ac:dyDescent="0.25">
      <c r="C13" s="587"/>
      <c r="D13" s="587"/>
      <c r="E13" s="587"/>
      <c r="F13" s="587"/>
      <c r="G13" s="587"/>
      <c r="H13" s="587"/>
      <c r="I13" s="587"/>
      <c r="J13" s="587"/>
      <c r="K13" s="587"/>
    </row>
    <row r="14" spans="1:17" ht="13.5" thickBot="1" x14ac:dyDescent="0.25">
      <c r="B14" s="588" t="s">
        <v>60</v>
      </c>
      <c r="C14" s="587">
        <f>SUM(C6:C13)</f>
        <v>290417</v>
      </c>
      <c r="D14" s="589">
        <f>SUM(D6:D13)</f>
        <v>116284</v>
      </c>
      <c r="E14" s="587">
        <f>SUM(E6:E13)</f>
        <v>174133</v>
      </c>
      <c r="F14" s="587"/>
      <c r="G14" s="587"/>
      <c r="H14" s="587"/>
      <c r="I14" s="587"/>
      <c r="J14" s="587"/>
      <c r="K14" s="587"/>
    </row>
    <row r="15" spans="1:17" x14ac:dyDescent="0.2">
      <c r="C15" s="587"/>
      <c r="D15" s="587"/>
      <c r="E15" s="587"/>
      <c r="F15" s="587"/>
      <c r="G15" s="587"/>
      <c r="H15" s="587"/>
      <c r="I15" s="587"/>
      <c r="J15" s="587"/>
      <c r="K15" s="587"/>
    </row>
    <row r="16" spans="1:17" ht="13.5" thickBot="1" x14ac:dyDescent="0.25">
      <c r="C16" s="587"/>
      <c r="D16" s="587"/>
      <c r="E16" s="587"/>
      <c r="F16" s="587"/>
      <c r="G16" s="587"/>
      <c r="H16" s="587"/>
      <c r="I16" s="587"/>
      <c r="J16" s="587"/>
      <c r="K16" s="587"/>
    </row>
    <row r="17" spans="2:11" x14ac:dyDescent="0.2">
      <c r="B17" s="590" t="s">
        <v>235</v>
      </c>
      <c r="C17" s="591"/>
      <c r="D17" s="591"/>
      <c r="E17" s="591"/>
      <c r="F17" s="591"/>
      <c r="G17" s="592"/>
      <c r="H17" s="587"/>
      <c r="I17" s="587"/>
      <c r="J17" s="587"/>
      <c r="K17" s="587"/>
    </row>
    <row r="18" spans="2:11" x14ac:dyDescent="0.2">
      <c r="B18" s="593"/>
      <c r="C18" s="594">
        <v>32142</v>
      </c>
      <c r="D18" s="594">
        <v>32508</v>
      </c>
      <c r="E18" s="594">
        <v>32873</v>
      </c>
      <c r="F18" s="594">
        <v>33238</v>
      </c>
      <c r="G18" s="595">
        <v>33603</v>
      </c>
      <c r="J18" s="587"/>
      <c r="K18" s="587"/>
    </row>
    <row r="19" spans="2:11" x14ac:dyDescent="0.2">
      <c r="B19" s="596" t="s">
        <v>62</v>
      </c>
      <c r="C19" s="597">
        <v>160435</v>
      </c>
      <c r="D19" s="597">
        <v>15067</v>
      </c>
      <c r="E19" s="597">
        <v>30840</v>
      </c>
      <c r="F19" s="597">
        <v>108802</v>
      </c>
      <c r="G19" s="598">
        <v>21279</v>
      </c>
      <c r="H19" s="585"/>
    </row>
    <row r="20" spans="2:11" x14ac:dyDescent="0.2">
      <c r="B20" s="599"/>
      <c r="C20" s="600">
        <v>1</v>
      </c>
      <c r="D20" s="600">
        <v>2</v>
      </c>
      <c r="E20" s="600">
        <v>3</v>
      </c>
      <c r="F20" s="600">
        <v>4</v>
      </c>
      <c r="G20" s="601">
        <v>5</v>
      </c>
      <c r="H20" s="585"/>
    </row>
    <row r="21" spans="2:11" x14ac:dyDescent="0.2">
      <c r="B21" s="599" t="s">
        <v>63</v>
      </c>
      <c r="C21" s="602">
        <f>+'[1]Page 1'!F32*C20</f>
        <v>160435</v>
      </c>
      <c r="D21" s="602">
        <f>+'[1]Page 1'!E32*D20</f>
        <v>30134</v>
      </c>
      <c r="E21" s="602">
        <f>+'[1]Page 1'!D32*E20</f>
        <v>92520</v>
      </c>
      <c r="F21" s="602">
        <f>+'[1]Page 1'!C32*F20</f>
        <v>435208</v>
      </c>
      <c r="G21" s="603">
        <f>+'[1]Page 1'!B32*G20</f>
        <v>106395</v>
      </c>
      <c r="H21" s="604">
        <f>SUM(E21:G21)/15</f>
        <v>42274.866666666669</v>
      </c>
    </row>
    <row r="22" spans="2:11" x14ac:dyDescent="0.2">
      <c r="B22" s="599"/>
      <c r="C22" s="600"/>
      <c r="D22" s="600"/>
      <c r="E22" s="600"/>
      <c r="F22" s="600"/>
      <c r="G22" s="601"/>
      <c r="H22" s="585"/>
    </row>
    <row r="23" spans="2:11" x14ac:dyDescent="0.2">
      <c r="B23" s="605" t="s">
        <v>64</v>
      </c>
      <c r="C23" s="600"/>
      <c r="D23" s="600"/>
      <c r="E23" s="600"/>
      <c r="F23" s="600"/>
      <c r="G23" s="601"/>
      <c r="H23" s="585"/>
    </row>
    <row r="24" spans="2:11" x14ac:dyDescent="0.2">
      <c r="B24" s="599" t="s">
        <v>65</v>
      </c>
      <c r="C24" s="606">
        <f>+'[1]Page 1'!B32</f>
        <v>21279</v>
      </c>
      <c r="D24" s="600"/>
      <c r="E24" s="600"/>
      <c r="F24" s="600"/>
      <c r="G24" s="601"/>
      <c r="H24" s="585"/>
    </row>
    <row r="25" spans="2:11" x14ac:dyDescent="0.2">
      <c r="B25" s="599" t="s">
        <v>66</v>
      </c>
      <c r="C25" s="606">
        <f>+AVERAGE('[1]Page 1'!B32:F32)</f>
        <v>67284.600000000006</v>
      </c>
      <c r="D25" s="600"/>
      <c r="E25" s="600"/>
      <c r="F25" s="600"/>
      <c r="G25" s="601"/>
      <c r="H25" s="585"/>
      <c r="I25" s="585"/>
      <c r="J25" s="585"/>
    </row>
    <row r="26" spans="2:11" x14ac:dyDescent="0.2">
      <c r="B26" s="599" t="s">
        <v>67</v>
      </c>
      <c r="C26" s="606">
        <f>+MEDIAN('[1]Page 1'!B32:F32)</f>
        <v>30840</v>
      </c>
      <c r="D26" s="600"/>
      <c r="E26" s="600"/>
      <c r="F26" s="600"/>
      <c r="G26" s="601"/>
      <c r="H26" s="585"/>
      <c r="I26" s="585"/>
      <c r="J26" s="585"/>
    </row>
    <row r="27" spans="2:11" ht="13.5" thickBot="1" x14ac:dyDescent="0.25">
      <c r="B27" s="599" t="s">
        <v>68</v>
      </c>
      <c r="C27" s="606">
        <f>+H21</f>
        <v>42274.866666666669</v>
      </c>
      <c r="D27" s="600"/>
      <c r="E27" s="600"/>
      <c r="F27" s="600"/>
      <c r="G27" s="601"/>
      <c r="H27" s="585"/>
      <c r="I27" s="585"/>
      <c r="J27" s="585"/>
    </row>
    <row r="28" spans="2:11" x14ac:dyDescent="0.2">
      <c r="B28" s="607" t="s">
        <v>69</v>
      </c>
      <c r="C28" s="608"/>
      <c r="D28" s="600"/>
      <c r="E28" s="600"/>
      <c r="F28" s="600"/>
      <c r="G28" s="601"/>
      <c r="H28" s="585"/>
      <c r="I28" s="585"/>
      <c r="J28" s="585"/>
    </row>
    <row r="29" spans="2:11" ht="13.5" thickBot="1" x14ac:dyDescent="0.25">
      <c r="B29" s="609" t="s">
        <v>70</v>
      </c>
      <c r="C29" s="610">
        <f>+(C24+C26)/2</f>
        <v>26059.5</v>
      </c>
      <c r="D29" s="611"/>
      <c r="E29" s="611"/>
      <c r="F29" s="611"/>
      <c r="G29" s="612"/>
      <c r="H29" s="585"/>
      <c r="I29" s="585"/>
      <c r="J29" s="585"/>
    </row>
    <row r="30" spans="2:11" x14ac:dyDescent="0.2">
      <c r="B30" s="585"/>
      <c r="C30" s="585"/>
      <c r="D30" s="585"/>
      <c r="E30" s="585"/>
      <c r="F30" s="585"/>
      <c r="G30" s="585"/>
      <c r="H30" s="585"/>
      <c r="I30" s="585"/>
      <c r="J30" s="585"/>
    </row>
    <row r="31" spans="2:11" ht="13.5" thickBot="1" x14ac:dyDescent="0.25"/>
    <row r="32" spans="2:11" x14ac:dyDescent="0.2">
      <c r="B32" s="607" t="s">
        <v>71</v>
      </c>
      <c r="C32" s="613"/>
      <c r="D32" s="613"/>
      <c r="E32" s="613"/>
      <c r="F32" s="613"/>
      <c r="G32" s="608"/>
    </row>
    <row r="33" spans="2:11" x14ac:dyDescent="0.2">
      <c r="B33" s="599"/>
      <c r="C33" s="600">
        <v>1992</v>
      </c>
      <c r="D33" s="600">
        <v>1993</v>
      </c>
      <c r="E33" s="600">
        <v>1994</v>
      </c>
      <c r="F33" s="600">
        <v>1995</v>
      </c>
      <c r="G33" s="614">
        <v>35358</v>
      </c>
    </row>
    <row r="34" spans="2:11" x14ac:dyDescent="0.2">
      <c r="B34" s="599"/>
      <c r="C34" s="600"/>
      <c r="D34" s="600"/>
      <c r="E34" s="600"/>
      <c r="F34" s="600"/>
      <c r="G34" s="601"/>
    </row>
    <row r="35" spans="2:11" x14ac:dyDescent="0.2">
      <c r="B35" s="599" t="s">
        <v>72</v>
      </c>
      <c r="C35" s="615">
        <f>+C29</f>
        <v>26059.5</v>
      </c>
      <c r="D35" s="615">
        <f>+C35</f>
        <v>26059.5</v>
      </c>
      <c r="E35" s="615">
        <f>+D35</f>
        <v>26059.5</v>
      </c>
      <c r="F35" s="615">
        <f>+E35</f>
        <v>26059.5</v>
      </c>
      <c r="G35" s="616">
        <f>+F35*(365-72)/365</f>
        <v>20918.995890410959</v>
      </c>
    </row>
    <row r="36" spans="2:11" ht="13.5" thickBot="1" x14ac:dyDescent="0.25">
      <c r="B36" s="593" t="s">
        <v>73</v>
      </c>
      <c r="C36" s="617">
        <v>0.1225</v>
      </c>
      <c r="D36" s="618"/>
      <c r="E36" s="618"/>
      <c r="F36" s="618"/>
      <c r="G36" s="619"/>
    </row>
    <row r="37" spans="2:11" ht="13.5" thickBot="1" x14ac:dyDescent="0.25">
      <c r="B37" s="620" t="s">
        <v>74</v>
      </c>
      <c r="C37" s="621">
        <f>+NPV(C36,C35:G35)</f>
        <v>90475.251825947416</v>
      </c>
      <c r="D37" s="622"/>
      <c r="E37" s="622"/>
      <c r="F37" s="622"/>
      <c r="G37" s="623"/>
    </row>
    <row r="38" spans="2:11" ht="13.5" thickBot="1" x14ac:dyDescent="0.25">
      <c r="B38" s="593"/>
      <c r="C38" s="618"/>
      <c r="D38" s="618"/>
      <c r="E38" s="618"/>
      <c r="F38" s="618"/>
      <c r="G38" s="619"/>
    </row>
    <row r="39" spans="2:11" ht="13.5" thickBot="1" x14ac:dyDescent="0.25">
      <c r="B39" s="620" t="s">
        <v>75</v>
      </c>
      <c r="C39" s="621">
        <f>+C37+D14</f>
        <v>206759.25182594743</v>
      </c>
      <c r="D39" s="622"/>
      <c r="E39" s="622"/>
      <c r="F39" s="622"/>
      <c r="G39" s="623"/>
    </row>
    <row r="40" spans="2:11" ht="13.5" thickBot="1" x14ac:dyDescent="0.25"/>
    <row r="41" spans="2:11" ht="15.75" thickBot="1" x14ac:dyDescent="0.3">
      <c r="B41" s="1462" t="s">
        <v>824</v>
      </c>
      <c r="C41" s="1463"/>
      <c r="D41" s="1463"/>
      <c r="E41" s="1463"/>
      <c r="F41" s="1463"/>
      <c r="G41" s="1463"/>
      <c r="H41" s="1463"/>
      <c r="I41" s="1463"/>
      <c r="J41" s="1463"/>
      <c r="K41" s="1464"/>
    </row>
    <row r="42" spans="2:11" ht="96.75" thickBot="1" x14ac:dyDescent="0.25">
      <c r="B42" s="624"/>
      <c r="C42" s="625" t="s">
        <v>825</v>
      </c>
      <c r="D42" s="625" t="s">
        <v>826</v>
      </c>
      <c r="E42" s="625" t="s">
        <v>827</v>
      </c>
      <c r="F42" s="625" t="s">
        <v>828</v>
      </c>
      <c r="G42" s="625" t="s">
        <v>829</v>
      </c>
      <c r="H42" s="625" t="s">
        <v>830</v>
      </c>
      <c r="I42" s="626" t="s">
        <v>76</v>
      </c>
    </row>
    <row r="43" spans="2:11" x14ac:dyDescent="0.2">
      <c r="B43" s="590"/>
      <c r="C43" s="627"/>
      <c r="D43" s="627"/>
      <c r="E43" s="628"/>
      <c r="F43" s="628"/>
      <c r="G43" s="628"/>
      <c r="H43" s="628"/>
      <c r="I43" s="629"/>
    </row>
    <row r="44" spans="2:11" x14ac:dyDescent="0.2">
      <c r="B44" s="593"/>
      <c r="C44" s="630" t="s">
        <v>77</v>
      </c>
      <c r="D44" s="630"/>
      <c r="E44" s="618"/>
      <c r="F44" s="618"/>
      <c r="G44" s="618"/>
      <c r="H44" s="618"/>
      <c r="I44" s="619"/>
    </row>
    <row r="45" spans="2:11" x14ac:dyDescent="0.2">
      <c r="B45" s="631">
        <v>33239</v>
      </c>
      <c r="C45" s="632">
        <v>18.55</v>
      </c>
      <c r="D45" s="632">
        <v>10.67</v>
      </c>
      <c r="E45" s="632">
        <v>22.46</v>
      </c>
      <c r="F45" s="632">
        <v>16.54</v>
      </c>
      <c r="G45" s="632">
        <v>9.09</v>
      </c>
      <c r="H45" s="633">
        <v>10.9</v>
      </c>
      <c r="I45" s="634">
        <v>12.16</v>
      </c>
    </row>
    <row r="46" spans="2:11" x14ac:dyDescent="0.2">
      <c r="B46" s="631">
        <f>+B45+31</f>
        <v>33270</v>
      </c>
      <c r="C46" s="632">
        <v>14.68</v>
      </c>
      <c r="D46" s="632">
        <v>14.31</v>
      </c>
      <c r="E46" s="632">
        <v>21.73</v>
      </c>
      <c r="F46" s="632">
        <v>19.239999999999998</v>
      </c>
      <c r="G46" s="632">
        <v>8.75</v>
      </c>
      <c r="H46" s="633">
        <v>10.72</v>
      </c>
      <c r="I46" s="634">
        <v>12.04</v>
      </c>
    </row>
    <row r="47" spans="2:11" x14ac:dyDescent="0.2">
      <c r="B47" s="631">
        <f t="shared" ref="B47:B56" si="0">+B46+31</f>
        <v>33301</v>
      </c>
      <c r="C47" s="632">
        <v>14.67</v>
      </c>
      <c r="D47" s="632">
        <v>14.83</v>
      </c>
      <c r="E47" s="632">
        <v>23.41</v>
      </c>
      <c r="F47" s="632">
        <v>18.98</v>
      </c>
      <c r="G47" s="632">
        <v>9.0299999999999994</v>
      </c>
      <c r="H47" s="633">
        <v>10.17</v>
      </c>
      <c r="I47" s="634">
        <v>12.27</v>
      </c>
    </row>
    <row r="48" spans="2:11" x14ac:dyDescent="0.2">
      <c r="B48" s="631">
        <f t="shared" si="0"/>
        <v>33332</v>
      </c>
      <c r="C48" s="632">
        <v>14.89</v>
      </c>
      <c r="D48" s="632">
        <v>15.98</v>
      </c>
      <c r="E48" s="632">
        <v>23.01</v>
      </c>
      <c r="F48" s="632">
        <v>20.8</v>
      </c>
      <c r="G48" s="632">
        <v>9.41</v>
      </c>
      <c r="H48" s="633">
        <v>10.35</v>
      </c>
      <c r="I48" s="634">
        <v>12.75</v>
      </c>
    </row>
    <row r="49" spans="2:10" x14ac:dyDescent="0.2">
      <c r="B49" s="631">
        <f t="shared" si="0"/>
        <v>33363</v>
      </c>
      <c r="C49" s="632">
        <v>13.64</v>
      </c>
      <c r="D49" s="632">
        <v>18.52</v>
      </c>
      <c r="E49" s="632">
        <v>22.57</v>
      </c>
      <c r="F49" s="632">
        <v>19.809999999999999</v>
      </c>
      <c r="G49" s="632">
        <v>9.56</v>
      </c>
      <c r="H49" s="633">
        <v>9.9600000000000009</v>
      </c>
      <c r="I49" s="634">
        <v>12.83</v>
      </c>
    </row>
    <row r="50" spans="2:10" x14ac:dyDescent="0.2">
      <c r="B50" s="631">
        <f t="shared" si="0"/>
        <v>33394</v>
      </c>
      <c r="C50" s="632">
        <v>12.95</v>
      </c>
      <c r="D50" s="632">
        <v>17</v>
      </c>
      <c r="E50" s="632">
        <v>21.6</v>
      </c>
      <c r="F50" s="632">
        <v>15.89</v>
      </c>
      <c r="G50" s="632">
        <v>8.26</v>
      </c>
      <c r="H50" s="633">
        <v>9.11</v>
      </c>
      <c r="I50" s="634">
        <v>11.62</v>
      </c>
    </row>
    <row r="51" spans="2:10" x14ac:dyDescent="0.2">
      <c r="B51" s="631">
        <f t="shared" si="0"/>
        <v>33425</v>
      </c>
      <c r="C51" s="632">
        <v>9.1999999999999993</v>
      </c>
      <c r="D51" s="632">
        <v>13.8</v>
      </c>
      <c r="E51" s="632">
        <v>19.72</v>
      </c>
      <c r="F51" s="632">
        <v>12.98</v>
      </c>
      <c r="G51" s="632">
        <v>8.4</v>
      </c>
      <c r="H51" s="633">
        <v>9.51</v>
      </c>
      <c r="I51" s="634">
        <v>10.14</v>
      </c>
    </row>
    <row r="52" spans="2:10" x14ac:dyDescent="0.2">
      <c r="B52" s="631">
        <f t="shared" si="0"/>
        <v>33456</v>
      </c>
      <c r="C52" s="632">
        <v>9.1199999999999992</v>
      </c>
      <c r="D52" s="632">
        <v>14.84</v>
      </c>
      <c r="E52" s="632">
        <v>20.27</v>
      </c>
      <c r="F52" s="632">
        <v>13.73</v>
      </c>
      <c r="G52" s="632">
        <v>9.17</v>
      </c>
      <c r="H52" s="633">
        <v>9.6199999999999992</v>
      </c>
      <c r="I52" s="634">
        <v>10.59</v>
      </c>
    </row>
    <row r="53" spans="2:10" x14ac:dyDescent="0.2">
      <c r="B53" s="631">
        <f t="shared" si="0"/>
        <v>33487</v>
      </c>
      <c r="C53" s="632">
        <v>8.1300000000000008</v>
      </c>
      <c r="D53" s="632">
        <v>11.05</v>
      </c>
      <c r="E53" s="632">
        <v>17.940000000000001</v>
      </c>
      <c r="F53" s="632">
        <v>12.92</v>
      </c>
      <c r="G53" s="632">
        <v>8.92</v>
      </c>
      <c r="H53" s="633">
        <v>9.5299999999999994</v>
      </c>
      <c r="I53" s="634">
        <v>9.5</v>
      </c>
    </row>
    <row r="54" spans="2:10" x14ac:dyDescent="0.2">
      <c r="B54" s="631">
        <f t="shared" si="0"/>
        <v>33518</v>
      </c>
      <c r="C54" s="632">
        <v>7</v>
      </c>
      <c r="D54" s="632">
        <v>7.12</v>
      </c>
      <c r="E54" s="632">
        <v>15.87</v>
      </c>
      <c r="F54" s="632">
        <v>12.44</v>
      </c>
      <c r="G54" s="632">
        <v>7.66</v>
      </c>
      <c r="H54" s="633">
        <v>8.1999999999999993</v>
      </c>
      <c r="I54" s="634">
        <v>7.84</v>
      </c>
    </row>
    <row r="55" spans="2:10" x14ac:dyDescent="0.2">
      <c r="B55" s="631">
        <f t="shared" si="0"/>
        <v>33549</v>
      </c>
      <c r="C55" s="632">
        <v>6.94</v>
      </c>
      <c r="D55" s="632">
        <v>6.28</v>
      </c>
      <c r="E55" s="632">
        <v>15.69</v>
      </c>
      <c r="F55" s="632">
        <v>12.69</v>
      </c>
      <c r="G55" s="632">
        <v>6.86</v>
      </c>
      <c r="H55" s="633">
        <v>11.64</v>
      </c>
      <c r="I55" s="634">
        <v>7.77</v>
      </c>
    </row>
    <row r="56" spans="2:10" x14ac:dyDescent="0.2">
      <c r="B56" s="631">
        <f t="shared" si="0"/>
        <v>33580</v>
      </c>
      <c r="C56" s="632">
        <v>7.49</v>
      </c>
      <c r="D56" s="632">
        <v>6.09</v>
      </c>
      <c r="E56" s="632">
        <v>16.649999999999999</v>
      </c>
      <c r="F56" s="632">
        <v>12.28</v>
      </c>
      <c r="G56" s="632">
        <v>7.6</v>
      </c>
      <c r="H56" s="633">
        <v>11.52</v>
      </c>
      <c r="I56" s="634">
        <v>8.16</v>
      </c>
    </row>
    <row r="57" spans="2:10" ht="13.5" thickBot="1" x14ac:dyDescent="0.25">
      <c r="B57" s="635"/>
      <c r="C57" s="636"/>
      <c r="D57" s="636"/>
      <c r="E57" s="622"/>
      <c r="F57" s="622"/>
      <c r="G57" s="622"/>
      <c r="H57" s="622"/>
      <c r="I57" s="623"/>
    </row>
    <row r="58" spans="2:10" ht="13.5" thickBot="1" x14ac:dyDescent="0.25"/>
    <row r="59" spans="2:10" ht="13.5" thickBot="1" x14ac:dyDescent="0.25">
      <c r="B59" s="637" t="s">
        <v>78</v>
      </c>
      <c r="C59" s="638">
        <f>1/C56</f>
        <v>0.13351134846461948</v>
      </c>
      <c r="D59" s="638">
        <f t="shared" ref="D59:I59" si="1">1/D56</f>
        <v>0.16420361247947454</v>
      </c>
      <c r="E59" s="638">
        <f t="shared" si="1"/>
        <v>6.0060060060060066E-2</v>
      </c>
      <c r="F59" s="639">
        <f t="shared" si="1"/>
        <v>8.1433224755700334E-2</v>
      </c>
      <c r="G59" s="638">
        <f t="shared" si="1"/>
        <v>0.13157894736842105</v>
      </c>
      <c r="H59" s="638">
        <f t="shared" si="1"/>
        <v>8.6805555555555552E-2</v>
      </c>
      <c r="I59" s="639">
        <f t="shared" si="1"/>
        <v>0.12254901960784313</v>
      </c>
    </row>
    <row r="61" spans="2:10" ht="18.75" x14ac:dyDescent="0.3">
      <c r="B61" s="663" t="s">
        <v>79</v>
      </c>
    </row>
    <row r="63" spans="2:10" ht="13.5" thickBot="1" x14ac:dyDescent="0.25">
      <c r="B63" s="640" t="s">
        <v>50</v>
      </c>
    </row>
    <row r="64" spans="2:10" x14ac:dyDescent="0.2">
      <c r="B64" s="590"/>
      <c r="C64" s="591"/>
      <c r="D64" s="641" t="s">
        <v>51</v>
      </c>
      <c r="E64" s="642" t="s">
        <v>52</v>
      </c>
      <c r="F64" s="643"/>
      <c r="G64" s="643"/>
      <c r="H64" s="587"/>
      <c r="I64" s="587"/>
      <c r="J64" s="587"/>
    </row>
    <row r="65" spans="2:10" x14ac:dyDescent="0.2">
      <c r="B65" s="593" t="s">
        <v>53</v>
      </c>
      <c r="C65" s="644">
        <v>147616</v>
      </c>
      <c r="D65" s="644"/>
      <c r="E65" s="645">
        <f>+C65</f>
        <v>147616</v>
      </c>
      <c r="F65" s="587"/>
      <c r="G65" s="587"/>
      <c r="H65" s="587"/>
      <c r="I65" s="587"/>
      <c r="J65" s="587"/>
    </row>
    <row r="66" spans="2:10" x14ac:dyDescent="0.2">
      <c r="B66" s="593" t="s">
        <v>54</v>
      </c>
      <c r="C66" s="644">
        <v>-33300</v>
      </c>
      <c r="D66" s="644"/>
      <c r="E66" s="645">
        <f>+C66</f>
        <v>-33300</v>
      </c>
      <c r="F66" s="587"/>
      <c r="G66" s="587"/>
      <c r="H66" s="587">
        <f>+D66+D65</f>
        <v>0</v>
      </c>
      <c r="I66" s="587"/>
      <c r="J66" s="587"/>
    </row>
    <row r="67" spans="2:10" x14ac:dyDescent="0.2">
      <c r="B67" s="593" t="s">
        <v>55</v>
      </c>
      <c r="C67" s="644">
        <v>145325</v>
      </c>
      <c r="D67" s="644"/>
      <c r="E67" s="645">
        <f>+C67</f>
        <v>145325</v>
      </c>
      <c r="F67" s="587"/>
      <c r="G67" s="587"/>
      <c r="H67" s="587"/>
      <c r="I67" s="587"/>
      <c r="J67" s="587"/>
    </row>
    <row r="68" spans="2:10" x14ac:dyDescent="0.2">
      <c r="B68" s="593" t="s">
        <v>56</v>
      </c>
      <c r="C68" s="644">
        <v>25688</v>
      </c>
      <c r="D68" s="644"/>
      <c r="E68" s="645">
        <f>+C68</f>
        <v>25688</v>
      </c>
      <c r="F68" s="587"/>
      <c r="G68" s="587"/>
      <c r="H68" s="587"/>
      <c r="I68" s="587"/>
      <c r="J68" s="587"/>
    </row>
    <row r="69" spans="2:10" x14ac:dyDescent="0.2">
      <c r="B69" s="593" t="s">
        <v>57</v>
      </c>
      <c r="C69" s="644">
        <v>3120</v>
      </c>
      <c r="D69" s="644"/>
      <c r="E69" s="645">
        <f>+C69</f>
        <v>3120</v>
      </c>
      <c r="F69" s="587"/>
      <c r="G69" s="587"/>
      <c r="H69" s="587"/>
      <c r="I69" s="587"/>
      <c r="J69" s="587"/>
    </row>
    <row r="70" spans="2:10" x14ac:dyDescent="0.2">
      <c r="B70" s="593" t="s">
        <v>58</v>
      </c>
      <c r="C70" s="644">
        <v>5388</v>
      </c>
      <c r="D70" s="644">
        <f>+C70</f>
        <v>5388</v>
      </c>
      <c r="E70" s="645"/>
      <c r="F70" s="587"/>
      <c r="G70" s="587"/>
      <c r="H70" s="587"/>
      <c r="I70" s="587"/>
      <c r="J70" s="587"/>
    </row>
    <row r="71" spans="2:10" x14ac:dyDescent="0.2">
      <c r="B71" s="593" t="s">
        <v>59</v>
      </c>
      <c r="C71" s="644">
        <v>-3420</v>
      </c>
      <c r="D71" s="644">
        <f>+C71</f>
        <v>-3420</v>
      </c>
      <c r="E71" s="645"/>
      <c r="F71" s="587"/>
      <c r="G71" s="587"/>
      <c r="H71" s="587"/>
      <c r="I71" s="587"/>
      <c r="J71" s="587"/>
    </row>
    <row r="72" spans="2:10" ht="13.5" thickBot="1" x14ac:dyDescent="0.25">
      <c r="B72" s="593"/>
      <c r="C72" s="644"/>
      <c r="D72" s="644"/>
      <c r="E72" s="645"/>
      <c r="F72" s="587"/>
      <c r="G72" s="587"/>
      <c r="H72" s="587"/>
      <c r="I72" s="587"/>
      <c r="J72" s="587"/>
    </row>
    <row r="73" spans="2:10" ht="13.5" thickBot="1" x14ac:dyDescent="0.25">
      <c r="B73" s="588" t="s">
        <v>60</v>
      </c>
      <c r="C73" s="646">
        <f>SUM(C65:C72)</f>
        <v>290417</v>
      </c>
      <c r="D73" s="589">
        <f>SUM(D65:D72)</f>
        <v>1968</v>
      </c>
      <c r="E73" s="647">
        <f>SUM(E65:E72)</f>
        <v>288449</v>
      </c>
      <c r="F73" s="587"/>
      <c r="G73" s="587"/>
      <c r="H73" s="587"/>
      <c r="I73" s="587"/>
      <c r="J73" s="587"/>
    </row>
    <row r="74" spans="2:10" x14ac:dyDescent="0.2">
      <c r="C74" s="587"/>
      <c r="D74" s="587"/>
      <c r="E74" s="587"/>
      <c r="F74" s="587"/>
      <c r="G74" s="587"/>
      <c r="H74" s="587"/>
      <c r="I74" s="587"/>
      <c r="J74" s="587"/>
    </row>
    <row r="75" spans="2:10" x14ac:dyDescent="0.2">
      <c r="C75" s="587"/>
      <c r="D75" s="587"/>
      <c r="E75" s="587"/>
      <c r="F75" s="587"/>
      <c r="G75" s="587"/>
      <c r="H75" s="587"/>
      <c r="I75" s="587"/>
      <c r="J75" s="587"/>
    </row>
    <row r="76" spans="2:10" x14ac:dyDescent="0.2">
      <c r="B76" s="586" t="s">
        <v>61</v>
      </c>
      <c r="C76" s="587"/>
      <c r="D76" s="587"/>
      <c r="E76" s="587"/>
      <c r="F76" s="587"/>
      <c r="G76" s="587"/>
      <c r="H76" s="587"/>
      <c r="I76" s="587"/>
      <c r="J76" s="587"/>
    </row>
    <row r="77" spans="2:10" x14ac:dyDescent="0.2">
      <c r="C77" s="648">
        <v>33603</v>
      </c>
      <c r="D77" s="648">
        <v>33238</v>
      </c>
      <c r="E77" s="648">
        <v>32873</v>
      </c>
      <c r="F77" s="648">
        <v>32508</v>
      </c>
      <c r="G77" s="648">
        <v>32142</v>
      </c>
      <c r="H77" s="587"/>
    </row>
    <row r="78" spans="2:10" x14ac:dyDescent="0.2">
      <c r="B78" s="649" t="s">
        <v>80</v>
      </c>
      <c r="C78" s="650">
        <f>+'[1]Page 1'!B32+'[1]Page 1'!B30</f>
        <v>69997</v>
      </c>
      <c r="D78" s="650">
        <f>+'[1]Page 1'!C32+'[1]Page 1'!C30</f>
        <v>158654</v>
      </c>
      <c r="E78" s="650">
        <f>+'[1]Page 1'!D32+'[1]Page 1'!D30</f>
        <v>82220</v>
      </c>
      <c r="F78" s="650">
        <f>+'[1]Page 1'!E32+'[1]Page 1'!E30</f>
        <v>74089</v>
      </c>
      <c r="G78" s="650">
        <f>+'[1]Page 1'!F32+'[1]Page 1'!F30</f>
        <v>222552</v>
      </c>
      <c r="H78" s="585"/>
    </row>
    <row r="79" spans="2:10" x14ac:dyDescent="0.2">
      <c r="B79" s="585"/>
      <c r="C79" s="585">
        <v>5</v>
      </c>
      <c r="D79" s="585">
        <v>4</v>
      </c>
      <c r="E79" s="585">
        <v>3</v>
      </c>
      <c r="F79" s="585">
        <v>2</v>
      </c>
      <c r="G79" s="585">
        <v>1</v>
      </c>
      <c r="H79" s="585"/>
    </row>
    <row r="80" spans="2:10" x14ac:dyDescent="0.2">
      <c r="B80" s="585" t="s">
        <v>63</v>
      </c>
      <c r="C80" s="604">
        <f>+C78*C79</f>
        <v>349985</v>
      </c>
      <c r="D80" s="604">
        <f>+D78*D79</f>
        <v>634616</v>
      </c>
      <c r="E80" s="604">
        <f>+E78*E79</f>
        <v>246660</v>
      </c>
      <c r="F80" s="604">
        <f>+F78*F79</f>
        <v>148178</v>
      </c>
      <c r="G80" s="604">
        <f>+G78*G79</f>
        <v>222552</v>
      </c>
      <c r="H80" s="604">
        <f>SUM(C80:G80)/15</f>
        <v>106799.4</v>
      </c>
    </row>
    <row r="81" spans="2:8" x14ac:dyDescent="0.2">
      <c r="B81" s="585"/>
      <c r="C81" s="585"/>
      <c r="D81" s="585"/>
      <c r="E81" s="585"/>
      <c r="F81" s="585"/>
      <c r="G81" s="585"/>
      <c r="H81" s="585"/>
    </row>
    <row r="82" spans="2:8" x14ac:dyDescent="0.2">
      <c r="B82" s="651" t="s">
        <v>80</v>
      </c>
      <c r="C82" s="585"/>
      <c r="D82" s="585"/>
      <c r="E82" s="585"/>
      <c r="F82" s="585"/>
      <c r="G82" s="585"/>
      <c r="H82" s="585"/>
    </row>
    <row r="83" spans="2:8" x14ac:dyDescent="0.2">
      <c r="B83" s="585" t="s">
        <v>65</v>
      </c>
      <c r="C83" s="652">
        <f>+C78</f>
        <v>69997</v>
      </c>
      <c r="D83" s="585"/>
      <c r="E83" s="585"/>
      <c r="F83" s="585"/>
      <c r="G83" s="585"/>
      <c r="H83" s="585"/>
    </row>
    <row r="84" spans="2:8" x14ac:dyDescent="0.2">
      <c r="B84" s="585" t="s">
        <v>66</v>
      </c>
      <c r="C84" s="652">
        <f>+AVERAGE(B78:F78)</f>
        <v>96240</v>
      </c>
      <c r="D84" s="585"/>
      <c r="E84" s="585"/>
      <c r="F84" s="585"/>
      <c r="G84" s="585"/>
      <c r="H84" s="585"/>
    </row>
    <row r="85" spans="2:8" x14ac:dyDescent="0.2">
      <c r="B85" s="585" t="s">
        <v>67</v>
      </c>
      <c r="C85" s="652">
        <f>+MEDIAN(C78:G78)</f>
        <v>82220</v>
      </c>
      <c r="D85" s="585"/>
      <c r="E85" s="585"/>
      <c r="F85" s="585"/>
      <c r="G85" s="585"/>
      <c r="H85" s="585"/>
    </row>
    <row r="86" spans="2:8" ht="13.5" thickBot="1" x14ac:dyDescent="0.25">
      <c r="B86" s="585" t="s">
        <v>68</v>
      </c>
      <c r="C86" s="652">
        <f>+H80</f>
        <v>106799.4</v>
      </c>
      <c r="D86" s="585"/>
      <c r="E86" s="585"/>
      <c r="F86" s="585"/>
      <c r="G86" s="585"/>
      <c r="H86" s="585"/>
    </row>
    <row r="87" spans="2:8" x14ac:dyDescent="0.2">
      <c r="B87" s="607" t="s">
        <v>69</v>
      </c>
      <c r="C87" s="608"/>
      <c r="D87" s="585"/>
      <c r="E87" s="585"/>
      <c r="F87" s="585"/>
      <c r="G87" s="585"/>
      <c r="H87" s="585"/>
    </row>
    <row r="88" spans="2:8" ht="13.5" thickBot="1" x14ac:dyDescent="0.25">
      <c r="B88" s="609" t="s">
        <v>70</v>
      </c>
      <c r="C88" s="610">
        <f>+(C83+C85)/2</f>
        <v>76108.5</v>
      </c>
      <c r="D88" s="585"/>
      <c r="E88" s="585"/>
      <c r="F88" s="585"/>
      <c r="G88" s="585"/>
      <c r="H88" s="585"/>
    </row>
    <row r="89" spans="2:8" x14ac:dyDescent="0.2">
      <c r="B89" s="585"/>
      <c r="C89" s="585"/>
      <c r="D89" s="585"/>
      <c r="E89" s="585"/>
      <c r="F89" s="585"/>
      <c r="G89" s="585"/>
      <c r="H89" s="585"/>
    </row>
    <row r="91" spans="2:8" x14ac:dyDescent="0.2">
      <c r="B91" s="585" t="s">
        <v>71</v>
      </c>
      <c r="C91" s="585"/>
      <c r="D91" s="585"/>
      <c r="E91" s="585"/>
      <c r="F91" s="585"/>
      <c r="G91" s="585"/>
    </row>
    <row r="92" spans="2:8" x14ac:dyDescent="0.2">
      <c r="B92" s="585"/>
      <c r="C92" s="585">
        <v>1992</v>
      </c>
      <c r="D92" s="585">
        <v>1993</v>
      </c>
      <c r="E92" s="585">
        <v>1994</v>
      </c>
      <c r="F92" s="585">
        <v>1995</v>
      </c>
      <c r="G92" s="653">
        <v>35358</v>
      </c>
    </row>
    <row r="93" spans="2:8" x14ac:dyDescent="0.2">
      <c r="B93" s="585"/>
      <c r="C93" s="585"/>
      <c r="D93" s="585"/>
      <c r="E93" s="585"/>
      <c r="F93" s="585"/>
      <c r="G93" s="585"/>
    </row>
    <row r="94" spans="2:8" x14ac:dyDescent="0.2">
      <c r="B94" s="585" t="s">
        <v>80</v>
      </c>
      <c r="C94" s="654">
        <f>+C88</f>
        <v>76108.5</v>
      </c>
      <c r="D94" s="654">
        <f>+C94</f>
        <v>76108.5</v>
      </c>
      <c r="E94" s="654">
        <f>+D94</f>
        <v>76108.5</v>
      </c>
      <c r="F94" s="654">
        <f>+E94</f>
        <v>76108.5</v>
      </c>
      <c r="G94" s="654">
        <f>+F94*(365-72)/365</f>
        <v>61095.316438356167</v>
      </c>
    </row>
    <row r="95" spans="2:8" ht="13.5" thickBot="1" x14ac:dyDescent="0.25">
      <c r="B95" s="586" t="s">
        <v>73</v>
      </c>
      <c r="C95" s="655">
        <v>0.1225</v>
      </c>
    </row>
    <row r="96" spans="2:8" ht="13.5" thickBot="1" x14ac:dyDescent="0.25">
      <c r="B96" s="620" t="s">
        <v>74</v>
      </c>
      <c r="C96" s="621">
        <f>+NPV(C95,C94:G94)</f>
        <v>264238.98016443598</v>
      </c>
    </row>
    <row r="97" spans="2:7" x14ac:dyDescent="0.2">
      <c r="B97" s="586" t="s">
        <v>54</v>
      </c>
      <c r="C97" s="587">
        <v>-33300</v>
      </c>
    </row>
    <row r="98" spans="2:7" ht="13.5" thickBot="1" x14ac:dyDescent="0.25">
      <c r="B98" s="586" t="s">
        <v>81</v>
      </c>
      <c r="C98" s="587">
        <f>+D73</f>
        <v>1968</v>
      </c>
    </row>
    <row r="99" spans="2:7" ht="13.5" thickBot="1" x14ac:dyDescent="0.25">
      <c r="B99" s="656" t="s">
        <v>75</v>
      </c>
      <c r="C99" s="657">
        <f>+C96+C97+C98</f>
        <v>232906.98016443598</v>
      </c>
    </row>
    <row r="103" spans="2:7" ht="18.75" x14ac:dyDescent="0.3">
      <c r="B103" s="664" t="s">
        <v>82</v>
      </c>
      <c r="C103" s="658"/>
      <c r="D103" s="658"/>
      <c r="E103" s="659"/>
      <c r="F103" s="618"/>
      <c r="G103" s="618"/>
    </row>
    <row r="104" spans="2:7" x14ac:dyDescent="0.2">
      <c r="C104" s="587"/>
      <c r="D104" s="587"/>
    </row>
    <row r="105" spans="2:7" x14ac:dyDescent="0.2">
      <c r="B105" s="586" t="s">
        <v>53</v>
      </c>
      <c r="C105" s="587">
        <v>147616</v>
      </c>
      <c r="D105" s="587"/>
    </row>
    <row r="106" spans="2:7" x14ac:dyDescent="0.2">
      <c r="B106" s="586" t="s">
        <v>54</v>
      </c>
      <c r="C106" s="587">
        <v>-33300</v>
      </c>
      <c r="D106" s="587"/>
    </row>
    <row r="107" spans="2:7" x14ac:dyDescent="0.2">
      <c r="B107" s="586" t="s">
        <v>55</v>
      </c>
      <c r="C107" s="587">
        <v>145325</v>
      </c>
      <c r="D107" s="587"/>
    </row>
    <row r="108" spans="2:7" x14ac:dyDescent="0.2">
      <c r="B108" s="586" t="s">
        <v>56</v>
      </c>
      <c r="C108" s="587">
        <v>25688</v>
      </c>
      <c r="D108" s="587"/>
    </row>
    <row r="109" spans="2:7" x14ac:dyDescent="0.2">
      <c r="B109" s="586" t="s">
        <v>57</v>
      </c>
      <c r="C109" s="587">
        <v>3120</v>
      </c>
      <c r="D109" s="587"/>
    </row>
    <row r="110" spans="2:7" x14ac:dyDescent="0.2">
      <c r="B110" s="586" t="s">
        <v>58</v>
      </c>
      <c r="C110" s="587">
        <v>5388</v>
      </c>
      <c r="D110" s="587">
        <f>+C110</f>
        <v>5388</v>
      </c>
    </row>
    <row r="111" spans="2:7" x14ac:dyDescent="0.2">
      <c r="B111" s="586" t="s">
        <v>59</v>
      </c>
      <c r="C111" s="587">
        <v>-3420</v>
      </c>
      <c r="D111" s="587">
        <f>+C111</f>
        <v>-3420</v>
      </c>
    </row>
    <row r="112" spans="2:7" ht="13.5" thickBot="1" x14ac:dyDescent="0.25">
      <c r="C112" s="587"/>
      <c r="D112" s="587"/>
    </row>
    <row r="113" spans="2:7" ht="13.5" thickBot="1" x14ac:dyDescent="0.25">
      <c r="B113" s="588" t="s">
        <v>60</v>
      </c>
      <c r="C113" s="587">
        <f>SUM(C105:C112)</f>
        <v>290417</v>
      </c>
      <c r="D113" s="589">
        <f>SUM(D105:D112)</f>
        <v>1968</v>
      </c>
    </row>
    <row r="114" spans="2:7" ht="13.5" thickBot="1" x14ac:dyDescent="0.25">
      <c r="B114" s="620" t="s">
        <v>83</v>
      </c>
      <c r="C114" s="660"/>
      <c r="D114" s="661">
        <f>+C118</f>
        <v>54078</v>
      </c>
    </row>
    <row r="115" spans="2:7" ht="13.5" thickBot="1" x14ac:dyDescent="0.25">
      <c r="B115" s="620" t="s">
        <v>84</v>
      </c>
      <c r="C115" s="660"/>
      <c r="D115" s="661">
        <f>+D113+D114</f>
        <v>56046</v>
      </c>
    </row>
    <row r="116" spans="2:7" x14ac:dyDescent="0.2">
      <c r="C116" s="648">
        <v>33603</v>
      </c>
      <c r="D116" s="648">
        <v>33238</v>
      </c>
      <c r="E116" s="648">
        <v>32873</v>
      </c>
      <c r="F116" s="648">
        <v>32508</v>
      </c>
      <c r="G116" s="648">
        <v>32142</v>
      </c>
    </row>
    <row r="117" spans="2:7" x14ac:dyDescent="0.2">
      <c r="B117" s="649" t="s">
        <v>85</v>
      </c>
      <c r="C117" s="650">
        <v>18594</v>
      </c>
      <c r="D117" s="650">
        <v>80363</v>
      </c>
      <c r="E117" s="650">
        <v>26885</v>
      </c>
      <c r="F117" s="650">
        <v>30551</v>
      </c>
      <c r="G117" s="650">
        <v>113997</v>
      </c>
    </row>
    <row r="118" spans="2:7" x14ac:dyDescent="0.2">
      <c r="B118" s="585" t="s">
        <v>86</v>
      </c>
      <c r="C118" s="662">
        <f>+AVERAGE(C117:G117)</f>
        <v>54078</v>
      </c>
    </row>
  </sheetData>
  <mergeCells count="1">
    <mergeCell ref="B41:K4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"/>
  <sheetViews>
    <sheetView showGridLines="0" topLeftCell="A37" workbookViewId="0">
      <selection activeCell="J49" sqref="J49"/>
    </sheetView>
  </sheetViews>
  <sheetFormatPr baseColWidth="10" defaultColWidth="11.42578125" defaultRowHeight="15.75" x14ac:dyDescent="0.25"/>
  <cols>
    <col min="1" max="1" width="33.85546875" style="670" customWidth="1"/>
    <col min="2" max="2" width="1.28515625" style="670" hidden="1" customWidth="1"/>
    <col min="3" max="8" width="10.85546875" style="670" customWidth="1"/>
    <col min="9" max="13" width="10.42578125" style="670" customWidth="1"/>
    <col min="14" max="34" width="9.140625" style="670" customWidth="1"/>
    <col min="35" max="256" width="11.42578125" style="671"/>
    <col min="257" max="257" width="48.42578125" style="671" customWidth="1"/>
    <col min="258" max="258" width="0" style="671" hidden="1" customWidth="1"/>
    <col min="259" max="259" width="13.85546875" style="671" bestFit="1" customWidth="1"/>
    <col min="260" max="263" width="13.7109375" style="671" bestFit="1" customWidth="1"/>
    <col min="264" max="264" width="12.42578125" style="671" customWidth="1"/>
    <col min="265" max="265" width="11" style="671" customWidth="1"/>
    <col min="266" max="290" width="9.140625" style="671" customWidth="1"/>
    <col min="291" max="512" width="11.42578125" style="671"/>
    <col min="513" max="513" width="48.42578125" style="671" customWidth="1"/>
    <col min="514" max="514" width="0" style="671" hidden="1" customWidth="1"/>
    <col min="515" max="515" width="13.85546875" style="671" bestFit="1" customWidth="1"/>
    <col min="516" max="519" width="13.7109375" style="671" bestFit="1" customWidth="1"/>
    <col min="520" max="520" width="12.42578125" style="671" customWidth="1"/>
    <col min="521" max="521" width="11" style="671" customWidth="1"/>
    <col min="522" max="546" width="9.140625" style="671" customWidth="1"/>
    <col min="547" max="768" width="11.42578125" style="671"/>
    <col min="769" max="769" width="48.42578125" style="671" customWidth="1"/>
    <col min="770" max="770" width="0" style="671" hidden="1" customWidth="1"/>
    <col min="771" max="771" width="13.85546875" style="671" bestFit="1" customWidth="1"/>
    <col min="772" max="775" width="13.7109375" style="671" bestFit="1" customWidth="1"/>
    <col min="776" max="776" width="12.42578125" style="671" customWidth="1"/>
    <col min="777" max="777" width="11" style="671" customWidth="1"/>
    <col min="778" max="802" width="9.140625" style="671" customWidth="1"/>
    <col min="803" max="1024" width="11.42578125" style="671"/>
    <col min="1025" max="1025" width="48.42578125" style="671" customWidth="1"/>
    <col min="1026" max="1026" width="0" style="671" hidden="1" customWidth="1"/>
    <col min="1027" max="1027" width="13.85546875" style="671" bestFit="1" customWidth="1"/>
    <col min="1028" max="1031" width="13.7109375" style="671" bestFit="1" customWidth="1"/>
    <col min="1032" max="1032" width="12.42578125" style="671" customWidth="1"/>
    <col min="1033" max="1033" width="11" style="671" customWidth="1"/>
    <col min="1034" max="1058" width="9.140625" style="671" customWidth="1"/>
    <col min="1059" max="1280" width="11.42578125" style="671"/>
    <col min="1281" max="1281" width="48.42578125" style="671" customWidth="1"/>
    <col min="1282" max="1282" width="0" style="671" hidden="1" customWidth="1"/>
    <col min="1283" max="1283" width="13.85546875" style="671" bestFit="1" customWidth="1"/>
    <col min="1284" max="1287" width="13.7109375" style="671" bestFit="1" customWidth="1"/>
    <col min="1288" max="1288" width="12.42578125" style="671" customWidth="1"/>
    <col min="1289" max="1289" width="11" style="671" customWidth="1"/>
    <col min="1290" max="1314" width="9.140625" style="671" customWidth="1"/>
    <col min="1315" max="1536" width="11.42578125" style="671"/>
    <col min="1537" max="1537" width="48.42578125" style="671" customWidth="1"/>
    <col min="1538" max="1538" width="0" style="671" hidden="1" customWidth="1"/>
    <col min="1539" max="1539" width="13.85546875" style="671" bestFit="1" customWidth="1"/>
    <col min="1540" max="1543" width="13.7109375" style="671" bestFit="1" customWidth="1"/>
    <col min="1544" max="1544" width="12.42578125" style="671" customWidth="1"/>
    <col min="1545" max="1545" width="11" style="671" customWidth="1"/>
    <col min="1546" max="1570" width="9.140625" style="671" customWidth="1"/>
    <col min="1571" max="1792" width="11.42578125" style="671"/>
    <col min="1793" max="1793" width="48.42578125" style="671" customWidth="1"/>
    <col min="1794" max="1794" width="0" style="671" hidden="1" customWidth="1"/>
    <col min="1795" max="1795" width="13.85546875" style="671" bestFit="1" customWidth="1"/>
    <col min="1796" max="1799" width="13.7109375" style="671" bestFit="1" customWidth="1"/>
    <col min="1800" max="1800" width="12.42578125" style="671" customWidth="1"/>
    <col min="1801" max="1801" width="11" style="671" customWidth="1"/>
    <col min="1802" max="1826" width="9.140625" style="671" customWidth="1"/>
    <col min="1827" max="2048" width="11.42578125" style="671"/>
    <col min="2049" max="2049" width="48.42578125" style="671" customWidth="1"/>
    <col min="2050" max="2050" width="0" style="671" hidden="1" customWidth="1"/>
    <col min="2051" max="2051" width="13.85546875" style="671" bestFit="1" customWidth="1"/>
    <col min="2052" max="2055" width="13.7109375" style="671" bestFit="1" customWidth="1"/>
    <col min="2056" max="2056" width="12.42578125" style="671" customWidth="1"/>
    <col min="2057" max="2057" width="11" style="671" customWidth="1"/>
    <col min="2058" max="2082" width="9.140625" style="671" customWidth="1"/>
    <col min="2083" max="2304" width="11.42578125" style="671"/>
    <col min="2305" max="2305" width="48.42578125" style="671" customWidth="1"/>
    <col min="2306" max="2306" width="0" style="671" hidden="1" customWidth="1"/>
    <col min="2307" max="2307" width="13.85546875" style="671" bestFit="1" customWidth="1"/>
    <col min="2308" max="2311" width="13.7109375" style="671" bestFit="1" customWidth="1"/>
    <col min="2312" max="2312" width="12.42578125" style="671" customWidth="1"/>
    <col min="2313" max="2313" width="11" style="671" customWidth="1"/>
    <col min="2314" max="2338" width="9.140625" style="671" customWidth="1"/>
    <col min="2339" max="2560" width="11.42578125" style="671"/>
    <col min="2561" max="2561" width="48.42578125" style="671" customWidth="1"/>
    <col min="2562" max="2562" width="0" style="671" hidden="1" customWidth="1"/>
    <col min="2563" max="2563" width="13.85546875" style="671" bestFit="1" customWidth="1"/>
    <col min="2564" max="2567" width="13.7109375" style="671" bestFit="1" customWidth="1"/>
    <col min="2568" max="2568" width="12.42578125" style="671" customWidth="1"/>
    <col min="2569" max="2569" width="11" style="671" customWidth="1"/>
    <col min="2570" max="2594" width="9.140625" style="671" customWidth="1"/>
    <col min="2595" max="2816" width="11.42578125" style="671"/>
    <col min="2817" max="2817" width="48.42578125" style="671" customWidth="1"/>
    <col min="2818" max="2818" width="0" style="671" hidden="1" customWidth="1"/>
    <col min="2819" max="2819" width="13.85546875" style="671" bestFit="1" customWidth="1"/>
    <col min="2820" max="2823" width="13.7109375" style="671" bestFit="1" customWidth="1"/>
    <col min="2824" max="2824" width="12.42578125" style="671" customWidth="1"/>
    <col min="2825" max="2825" width="11" style="671" customWidth="1"/>
    <col min="2826" max="2850" width="9.140625" style="671" customWidth="1"/>
    <col min="2851" max="3072" width="11.42578125" style="671"/>
    <col min="3073" max="3073" width="48.42578125" style="671" customWidth="1"/>
    <col min="3074" max="3074" width="0" style="671" hidden="1" customWidth="1"/>
    <col min="3075" max="3075" width="13.85546875" style="671" bestFit="1" customWidth="1"/>
    <col min="3076" max="3079" width="13.7109375" style="671" bestFit="1" customWidth="1"/>
    <col min="3080" max="3080" width="12.42578125" style="671" customWidth="1"/>
    <col min="3081" max="3081" width="11" style="671" customWidth="1"/>
    <col min="3082" max="3106" width="9.140625" style="671" customWidth="1"/>
    <col min="3107" max="3328" width="11.42578125" style="671"/>
    <col min="3329" max="3329" width="48.42578125" style="671" customWidth="1"/>
    <col min="3330" max="3330" width="0" style="671" hidden="1" customWidth="1"/>
    <col min="3331" max="3331" width="13.85546875" style="671" bestFit="1" customWidth="1"/>
    <col min="3332" max="3335" width="13.7109375" style="671" bestFit="1" customWidth="1"/>
    <col min="3336" max="3336" width="12.42578125" style="671" customWidth="1"/>
    <col min="3337" max="3337" width="11" style="671" customWidth="1"/>
    <col min="3338" max="3362" width="9.140625" style="671" customWidth="1"/>
    <col min="3363" max="3584" width="11.42578125" style="671"/>
    <col min="3585" max="3585" width="48.42578125" style="671" customWidth="1"/>
    <col min="3586" max="3586" width="0" style="671" hidden="1" customWidth="1"/>
    <col min="3587" max="3587" width="13.85546875" style="671" bestFit="1" customWidth="1"/>
    <col min="3588" max="3591" width="13.7109375" style="671" bestFit="1" customWidth="1"/>
    <col min="3592" max="3592" width="12.42578125" style="671" customWidth="1"/>
    <col min="3593" max="3593" width="11" style="671" customWidth="1"/>
    <col min="3594" max="3618" width="9.140625" style="671" customWidth="1"/>
    <col min="3619" max="3840" width="11.42578125" style="671"/>
    <col min="3841" max="3841" width="48.42578125" style="671" customWidth="1"/>
    <col min="3842" max="3842" width="0" style="671" hidden="1" customWidth="1"/>
    <col min="3843" max="3843" width="13.85546875" style="671" bestFit="1" customWidth="1"/>
    <col min="3844" max="3847" width="13.7109375" style="671" bestFit="1" customWidth="1"/>
    <col min="3848" max="3848" width="12.42578125" style="671" customWidth="1"/>
    <col min="3849" max="3849" width="11" style="671" customWidth="1"/>
    <col min="3850" max="3874" width="9.140625" style="671" customWidth="1"/>
    <col min="3875" max="4096" width="11.42578125" style="671"/>
    <col min="4097" max="4097" width="48.42578125" style="671" customWidth="1"/>
    <col min="4098" max="4098" width="0" style="671" hidden="1" customWidth="1"/>
    <col min="4099" max="4099" width="13.85546875" style="671" bestFit="1" customWidth="1"/>
    <col min="4100" max="4103" width="13.7109375" style="671" bestFit="1" customWidth="1"/>
    <col min="4104" max="4104" width="12.42578125" style="671" customWidth="1"/>
    <col min="4105" max="4105" width="11" style="671" customWidth="1"/>
    <col min="4106" max="4130" width="9.140625" style="671" customWidth="1"/>
    <col min="4131" max="4352" width="11.42578125" style="671"/>
    <col min="4353" max="4353" width="48.42578125" style="671" customWidth="1"/>
    <col min="4354" max="4354" width="0" style="671" hidden="1" customWidth="1"/>
    <col min="4355" max="4355" width="13.85546875" style="671" bestFit="1" customWidth="1"/>
    <col min="4356" max="4359" width="13.7109375" style="671" bestFit="1" customWidth="1"/>
    <col min="4360" max="4360" width="12.42578125" style="671" customWidth="1"/>
    <col min="4361" max="4361" width="11" style="671" customWidth="1"/>
    <col min="4362" max="4386" width="9.140625" style="671" customWidth="1"/>
    <col min="4387" max="4608" width="11.42578125" style="671"/>
    <col min="4609" max="4609" width="48.42578125" style="671" customWidth="1"/>
    <col min="4610" max="4610" width="0" style="671" hidden="1" customWidth="1"/>
    <col min="4611" max="4611" width="13.85546875" style="671" bestFit="1" customWidth="1"/>
    <col min="4612" max="4615" width="13.7109375" style="671" bestFit="1" customWidth="1"/>
    <col min="4616" max="4616" width="12.42578125" style="671" customWidth="1"/>
    <col min="4617" max="4617" width="11" style="671" customWidth="1"/>
    <col min="4618" max="4642" width="9.140625" style="671" customWidth="1"/>
    <col min="4643" max="4864" width="11.42578125" style="671"/>
    <col min="4865" max="4865" width="48.42578125" style="671" customWidth="1"/>
    <col min="4866" max="4866" width="0" style="671" hidden="1" customWidth="1"/>
    <col min="4867" max="4867" width="13.85546875" style="671" bestFit="1" customWidth="1"/>
    <col min="4868" max="4871" width="13.7109375" style="671" bestFit="1" customWidth="1"/>
    <col min="4872" max="4872" width="12.42578125" style="671" customWidth="1"/>
    <col min="4873" max="4873" width="11" style="671" customWidth="1"/>
    <col min="4874" max="4898" width="9.140625" style="671" customWidth="1"/>
    <col min="4899" max="5120" width="11.42578125" style="671"/>
    <col min="5121" max="5121" width="48.42578125" style="671" customWidth="1"/>
    <col min="5122" max="5122" width="0" style="671" hidden="1" customWidth="1"/>
    <col min="5123" max="5123" width="13.85546875" style="671" bestFit="1" customWidth="1"/>
    <col min="5124" max="5127" width="13.7109375" style="671" bestFit="1" customWidth="1"/>
    <col min="5128" max="5128" width="12.42578125" style="671" customWidth="1"/>
    <col min="5129" max="5129" width="11" style="671" customWidth="1"/>
    <col min="5130" max="5154" width="9.140625" style="671" customWidth="1"/>
    <col min="5155" max="5376" width="11.42578125" style="671"/>
    <col min="5377" max="5377" width="48.42578125" style="671" customWidth="1"/>
    <col min="5378" max="5378" width="0" style="671" hidden="1" customWidth="1"/>
    <col min="5379" max="5379" width="13.85546875" style="671" bestFit="1" customWidth="1"/>
    <col min="5380" max="5383" width="13.7109375" style="671" bestFit="1" customWidth="1"/>
    <col min="5384" max="5384" width="12.42578125" style="671" customWidth="1"/>
    <col min="5385" max="5385" width="11" style="671" customWidth="1"/>
    <col min="5386" max="5410" width="9.140625" style="671" customWidth="1"/>
    <col min="5411" max="5632" width="11.42578125" style="671"/>
    <col min="5633" max="5633" width="48.42578125" style="671" customWidth="1"/>
    <col min="5634" max="5634" width="0" style="671" hidden="1" customWidth="1"/>
    <col min="5635" max="5635" width="13.85546875" style="671" bestFit="1" customWidth="1"/>
    <col min="5636" max="5639" width="13.7109375" style="671" bestFit="1" customWidth="1"/>
    <col min="5640" max="5640" width="12.42578125" style="671" customWidth="1"/>
    <col min="5641" max="5641" width="11" style="671" customWidth="1"/>
    <col min="5642" max="5666" width="9.140625" style="671" customWidth="1"/>
    <col min="5667" max="5888" width="11.42578125" style="671"/>
    <col min="5889" max="5889" width="48.42578125" style="671" customWidth="1"/>
    <col min="5890" max="5890" width="0" style="671" hidden="1" customWidth="1"/>
    <col min="5891" max="5891" width="13.85546875" style="671" bestFit="1" customWidth="1"/>
    <col min="5892" max="5895" width="13.7109375" style="671" bestFit="1" customWidth="1"/>
    <col min="5896" max="5896" width="12.42578125" style="671" customWidth="1"/>
    <col min="5897" max="5897" width="11" style="671" customWidth="1"/>
    <col min="5898" max="5922" width="9.140625" style="671" customWidth="1"/>
    <col min="5923" max="6144" width="11.42578125" style="671"/>
    <col min="6145" max="6145" width="48.42578125" style="671" customWidth="1"/>
    <col min="6146" max="6146" width="0" style="671" hidden="1" customWidth="1"/>
    <col min="6147" max="6147" width="13.85546875" style="671" bestFit="1" customWidth="1"/>
    <col min="6148" max="6151" width="13.7109375" style="671" bestFit="1" customWidth="1"/>
    <col min="6152" max="6152" width="12.42578125" style="671" customWidth="1"/>
    <col min="6153" max="6153" width="11" style="671" customWidth="1"/>
    <col min="6154" max="6178" width="9.140625" style="671" customWidth="1"/>
    <col min="6179" max="6400" width="11.42578125" style="671"/>
    <col min="6401" max="6401" width="48.42578125" style="671" customWidth="1"/>
    <col min="6402" max="6402" width="0" style="671" hidden="1" customWidth="1"/>
    <col min="6403" max="6403" width="13.85546875" style="671" bestFit="1" customWidth="1"/>
    <col min="6404" max="6407" width="13.7109375" style="671" bestFit="1" customWidth="1"/>
    <col min="6408" max="6408" width="12.42578125" style="671" customWidth="1"/>
    <col min="6409" max="6409" width="11" style="671" customWidth="1"/>
    <col min="6410" max="6434" width="9.140625" style="671" customWidth="1"/>
    <col min="6435" max="6656" width="11.42578125" style="671"/>
    <col min="6657" max="6657" width="48.42578125" style="671" customWidth="1"/>
    <col min="6658" max="6658" width="0" style="671" hidden="1" customWidth="1"/>
    <col min="6659" max="6659" width="13.85546875" style="671" bestFit="1" customWidth="1"/>
    <col min="6660" max="6663" width="13.7109375" style="671" bestFit="1" customWidth="1"/>
    <col min="6664" max="6664" width="12.42578125" style="671" customWidth="1"/>
    <col min="6665" max="6665" width="11" style="671" customWidth="1"/>
    <col min="6666" max="6690" width="9.140625" style="671" customWidth="1"/>
    <col min="6691" max="6912" width="11.42578125" style="671"/>
    <col min="6913" max="6913" width="48.42578125" style="671" customWidth="1"/>
    <col min="6914" max="6914" width="0" style="671" hidden="1" customWidth="1"/>
    <col min="6915" max="6915" width="13.85546875" style="671" bestFit="1" customWidth="1"/>
    <col min="6916" max="6919" width="13.7109375" style="671" bestFit="1" customWidth="1"/>
    <col min="6920" max="6920" width="12.42578125" style="671" customWidth="1"/>
    <col min="6921" max="6921" width="11" style="671" customWidth="1"/>
    <col min="6922" max="6946" width="9.140625" style="671" customWidth="1"/>
    <col min="6947" max="7168" width="11.42578125" style="671"/>
    <col min="7169" max="7169" width="48.42578125" style="671" customWidth="1"/>
    <col min="7170" max="7170" width="0" style="671" hidden="1" customWidth="1"/>
    <col min="7171" max="7171" width="13.85546875" style="671" bestFit="1" customWidth="1"/>
    <col min="7172" max="7175" width="13.7109375" style="671" bestFit="1" customWidth="1"/>
    <col min="7176" max="7176" width="12.42578125" style="671" customWidth="1"/>
    <col min="7177" max="7177" width="11" style="671" customWidth="1"/>
    <col min="7178" max="7202" width="9.140625" style="671" customWidth="1"/>
    <col min="7203" max="7424" width="11.42578125" style="671"/>
    <col min="7425" max="7425" width="48.42578125" style="671" customWidth="1"/>
    <col min="7426" max="7426" width="0" style="671" hidden="1" customWidth="1"/>
    <col min="7427" max="7427" width="13.85546875" style="671" bestFit="1" customWidth="1"/>
    <col min="7428" max="7431" width="13.7109375" style="671" bestFit="1" customWidth="1"/>
    <col min="7432" max="7432" width="12.42578125" style="671" customWidth="1"/>
    <col min="7433" max="7433" width="11" style="671" customWidth="1"/>
    <col min="7434" max="7458" width="9.140625" style="671" customWidth="1"/>
    <col min="7459" max="7680" width="11.42578125" style="671"/>
    <col min="7681" max="7681" width="48.42578125" style="671" customWidth="1"/>
    <col min="7682" max="7682" width="0" style="671" hidden="1" customWidth="1"/>
    <col min="7683" max="7683" width="13.85546875" style="671" bestFit="1" customWidth="1"/>
    <col min="7684" max="7687" width="13.7109375" style="671" bestFit="1" customWidth="1"/>
    <col min="7688" max="7688" width="12.42578125" style="671" customWidth="1"/>
    <col min="7689" max="7689" width="11" style="671" customWidth="1"/>
    <col min="7690" max="7714" width="9.140625" style="671" customWidth="1"/>
    <col min="7715" max="7936" width="11.42578125" style="671"/>
    <col min="7937" max="7937" width="48.42578125" style="671" customWidth="1"/>
    <col min="7938" max="7938" width="0" style="671" hidden="1" customWidth="1"/>
    <col min="7939" max="7939" width="13.85546875" style="671" bestFit="1" customWidth="1"/>
    <col min="7940" max="7943" width="13.7109375" style="671" bestFit="1" customWidth="1"/>
    <col min="7944" max="7944" width="12.42578125" style="671" customWidth="1"/>
    <col min="7945" max="7945" width="11" style="671" customWidth="1"/>
    <col min="7946" max="7970" width="9.140625" style="671" customWidth="1"/>
    <col min="7971" max="8192" width="11.42578125" style="671"/>
    <col min="8193" max="8193" width="48.42578125" style="671" customWidth="1"/>
    <col min="8194" max="8194" width="0" style="671" hidden="1" customWidth="1"/>
    <col min="8195" max="8195" width="13.85546875" style="671" bestFit="1" customWidth="1"/>
    <col min="8196" max="8199" width="13.7109375" style="671" bestFit="1" customWidth="1"/>
    <col min="8200" max="8200" width="12.42578125" style="671" customWidth="1"/>
    <col min="8201" max="8201" width="11" style="671" customWidth="1"/>
    <col min="8202" max="8226" width="9.140625" style="671" customWidth="1"/>
    <col min="8227" max="8448" width="11.42578125" style="671"/>
    <col min="8449" max="8449" width="48.42578125" style="671" customWidth="1"/>
    <col min="8450" max="8450" width="0" style="671" hidden="1" customWidth="1"/>
    <col min="8451" max="8451" width="13.85546875" style="671" bestFit="1" customWidth="1"/>
    <col min="8452" max="8455" width="13.7109375" style="671" bestFit="1" customWidth="1"/>
    <col min="8456" max="8456" width="12.42578125" style="671" customWidth="1"/>
    <col min="8457" max="8457" width="11" style="671" customWidth="1"/>
    <col min="8458" max="8482" width="9.140625" style="671" customWidth="1"/>
    <col min="8483" max="8704" width="11.42578125" style="671"/>
    <col min="8705" max="8705" width="48.42578125" style="671" customWidth="1"/>
    <col min="8706" max="8706" width="0" style="671" hidden="1" customWidth="1"/>
    <col min="8707" max="8707" width="13.85546875" style="671" bestFit="1" customWidth="1"/>
    <col min="8708" max="8711" width="13.7109375" style="671" bestFit="1" customWidth="1"/>
    <col min="8712" max="8712" width="12.42578125" style="671" customWidth="1"/>
    <col min="8713" max="8713" width="11" style="671" customWidth="1"/>
    <col min="8714" max="8738" width="9.140625" style="671" customWidth="1"/>
    <col min="8739" max="8960" width="11.42578125" style="671"/>
    <col min="8961" max="8961" width="48.42578125" style="671" customWidth="1"/>
    <col min="8962" max="8962" width="0" style="671" hidden="1" customWidth="1"/>
    <col min="8963" max="8963" width="13.85546875" style="671" bestFit="1" customWidth="1"/>
    <col min="8964" max="8967" width="13.7109375" style="671" bestFit="1" customWidth="1"/>
    <col min="8968" max="8968" width="12.42578125" style="671" customWidth="1"/>
    <col min="8969" max="8969" width="11" style="671" customWidth="1"/>
    <col min="8970" max="8994" width="9.140625" style="671" customWidth="1"/>
    <col min="8995" max="9216" width="11.42578125" style="671"/>
    <col min="9217" max="9217" width="48.42578125" style="671" customWidth="1"/>
    <col min="9218" max="9218" width="0" style="671" hidden="1" customWidth="1"/>
    <col min="9219" max="9219" width="13.85546875" style="671" bestFit="1" customWidth="1"/>
    <col min="9220" max="9223" width="13.7109375" style="671" bestFit="1" customWidth="1"/>
    <col min="9224" max="9224" width="12.42578125" style="671" customWidth="1"/>
    <col min="9225" max="9225" width="11" style="671" customWidth="1"/>
    <col min="9226" max="9250" width="9.140625" style="671" customWidth="1"/>
    <col min="9251" max="9472" width="11.42578125" style="671"/>
    <col min="9473" max="9473" width="48.42578125" style="671" customWidth="1"/>
    <col min="9474" max="9474" width="0" style="671" hidden="1" customWidth="1"/>
    <col min="9475" max="9475" width="13.85546875" style="671" bestFit="1" customWidth="1"/>
    <col min="9476" max="9479" width="13.7109375" style="671" bestFit="1" customWidth="1"/>
    <col min="9480" max="9480" width="12.42578125" style="671" customWidth="1"/>
    <col min="9481" max="9481" width="11" style="671" customWidth="1"/>
    <col min="9482" max="9506" width="9.140625" style="671" customWidth="1"/>
    <col min="9507" max="9728" width="11.42578125" style="671"/>
    <col min="9729" max="9729" width="48.42578125" style="671" customWidth="1"/>
    <col min="9730" max="9730" width="0" style="671" hidden="1" customWidth="1"/>
    <col min="9731" max="9731" width="13.85546875" style="671" bestFit="1" customWidth="1"/>
    <col min="9732" max="9735" width="13.7109375" style="671" bestFit="1" customWidth="1"/>
    <col min="9736" max="9736" width="12.42578125" style="671" customWidth="1"/>
    <col min="9737" max="9737" width="11" style="671" customWidth="1"/>
    <col min="9738" max="9762" width="9.140625" style="671" customWidth="1"/>
    <col min="9763" max="9984" width="11.42578125" style="671"/>
    <col min="9985" max="9985" width="48.42578125" style="671" customWidth="1"/>
    <col min="9986" max="9986" width="0" style="671" hidden="1" customWidth="1"/>
    <col min="9987" max="9987" width="13.85546875" style="671" bestFit="1" customWidth="1"/>
    <col min="9988" max="9991" width="13.7109375" style="671" bestFit="1" customWidth="1"/>
    <col min="9992" max="9992" width="12.42578125" style="671" customWidth="1"/>
    <col min="9993" max="9993" width="11" style="671" customWidth="1"/>
    <col min="9994" max="10018" width="9.140625" style="671" customWidth="1"/>
    <col min="10019" max="10240" width="11.42578125" style="671"/>
    <col min="10241" max="10241" width="48.42578125" style="671" customWidth="1"/>
    <col min="10242" max="10242" width="0" style="671" hidden="1" customWidth="1"/>
    <col min="10243" max="10243" width="13.85546875" style="671" bestFit="1" customWidth="1"/>
    <col min="10244" max="10247" width="13.7109375" style="671" bestFit="1" customWidth="1"/>
    <col min="10248" max="10248" width="12.42578125" style="671" customWidth="1"/>
    <col min="10249" max="10249" width="11" style="671" customWidth="1"/>
    <col min="10250" max="10274" width="9.140625" style="671" customWidth="1"/>
    <col min="10275" max="10496" width="11.42578125" style="671"/>
    <col min="10497" max="10497" width="48.42578125" style="671" customWidth="1"/>
    <col min="10498" max="10498" width="0" style="671" hidden="1" customWidth="1"/>
    <col min="10499" max="10499" width="13.85546875" style="671" bestFit="1" customWidth="1"/>
    <col min="10500" max="10503" width="13.7109375" style="671" bestFit="1" customWidth="1"/>
    <col min="10504" max="10504" width="12.42578125" style="671" customWidth="1"/>
    <col min="10505" max="10505" width="11" style="671" customWidth="1"/>
    <col min="10506" max="10530" width="9.140625" style="671" customWidth="1"/>
    <col min="10531" max="10752" width="11.42578125" style="671"/>
    <col min="10753" max="10753" width="48.42578125" style="671" customWidth="1"/>
    <col min="10754" max="10754" width="0" style="671" hidden="1" customWidth="1"/>
    <col min="10755" max="10755" width="13.85546875" style="671" bestFit="1" customWidth="1"/>
    <col min="10756" max="10759" width="13.7109375" style="671" bestFit="1" customWidth="1"/>
    <col min="10760" max="10760" width="12.42578125" style="671" customWidth="1"/>
    <col min="10761" max="10761" width="11" style="671" customWidth="1"/>
    <col min="10762" max="10786" width="9.140625" style="671" customWidth="1"/>
    <col min="10787" max="11008" width="11.42578125" style="671"/>
    <col min="11009" max="11009" width="48.42578125" style="671" customWidth="1"/>
    <col min="11010" max="11010" width="0" style="671" hidden="1" customWidth="1"/>
    <col min="11011" max="11011" width="13.85546875" style="671" bestFit="1" customWidth="1"/>
    <col min="11012" max="11015" width="13.7109375" style="671" bestFit="1" customWidth="1"/>
    <col min="11016" max="11016" width="12.42578125" style="671" customWidth="1"/>
    <col min="11017" max="11017" width="11" style="671" customWidth="1"/>
    <col min="11018" max="11042" width="9.140625" style="671" customWidth="1"/>
    <col min="11043" max="11264" width="11.42578125" style="671"/>
    <col min="11265" max="11265" width="48.42578125" style="671" customWidth="1"/>
    <col min="11266" max="11266" width="0" style="671" hidden="1" customWidth="1"/>
    <col min="11267" max="11267" width="13.85546875" style="671" bestFit="1" customWidth="1"/>
    <col min="11268" max="11271" width="13.7109375" style="671" bestFit="1" customWidth="1"/>
    <col min="11272" max="11272" width="12.42578125" style="671" customWidth="1"/>
    <col min="11273" max="11273" width="11" style="671" customWidth="1"/>
    <col min="11274" max="11298" width="9.140625" style="671" customWidth="1"/>
    <col min="11299" max="11520" width="11.42578125" style="671"/>
    <col min="11521" max="11521" width="48.42578125" style="671" customWidth="1"/>
    <col min="11522" max="11522" width="0" style="671" hidden="1" customWidth="1"/>
    <col min="11523" max="11523" width="13.85546875" style="671" bestFit="1" customWidth="1"/>
    <col min="11524" max="11527" width="13.7109375" style="671" bestFit="1" customWidth="1"/>
    <col min="11528" max="11528" width="12.42578125" style="671" customWidth="1"/>
    <col min="11529" max="11529" width="11" style="671" customWidth="1"/>
    <col min="11530" max="11554" width="9.140625" style="671" customWidth="1"/>
    <col min="11555" max="11776" width="11.42578125" style="671"/>
    <col min="11777" max="11777" width="48.42578125" style="671" customWidth="1"/>
    <col min="11778" max="11778" width="0" style="671" hidden="1" customWidth="1"/>
    <col min="11779" max="11779" width="13.85546875" style="671" bestFit="1" customWidth="1"/>
    <col min="11780" max="11783" width="13.7109375" style="671" bestFit="1" customWidth="1"/>
    <col min="11784" max="11784" width="12.42578125" style="671" customWidth="1"/>
    <col min="11785" max="11785" width="11" style="671" customWidth="1"/>
    <col min="11786" max="11810" width="9.140625" style="671" customWidth="1"/>
    <col min="11811" max="12032" width="11.42578125" style="671"/>
    <col min="12033" max="12033" width="48.42578125" style="671" customWidth="1"/>
    <col min="12034" max="12034" width="0" style="671" hidden="1" customWidth="1"/>
    <col min="12035" max="12035" width="13.85546875" style="671" bestFit="1" customWidth="1"/>
    <col min="12036" max="12039" width="13.7109375" style="671" bestFit="1" customWidth="1"/>
    <col min="12040" max="12040" width="12.42578125" style="671" customWidth="1"/>
    <col min="12041" max="12041" width="11" style="671" customWidth="1"/>
    <col min="12042" max="12066" width="9.140625" style="671" customWidth="1"/>
    <col min="12067" max="12288" width="11.42578125" style="671"/>
    <col min="12289" max="12289" width="48.42578125" style="671" customWidth="1"/>
    <col min="12290" max="12290" width="0" style="671" hidden="1" customWidth="1"/>
    <col min="12291" max="12291" width="13.85546875" style="671" bestFit="1" customWidth="1"/>
    <col min="12292" max="12295" width="13.7109375" style="671" bestFit="1" customWidth="1"/>
    <col min="12296" max="12296" width="12.42578125" style="671" customWidth="1"/>
    <col min="12297" max="12297" width="11" style="671" customWidth="1"/>
    <col min="12298" max="12322" width="9.140625" style="671" customWidth="1"/>
    <col min="12323" max="12544" width="11.42578125" style="671"/>
    <col min="12545" max="12545" width="48.42578125" style="671" customWidth="1"/>
    <col min="12546" max="12546" width="0" style="671" hidden="1" customWidth="1"/>
    <col min="12547" max="12547" width="13.85546875" style="671" bestFit="1" customWidth="1"/>
    <col min="12548" max="12551" width="13.7109375" style="671" bestFit="1" customWidth="1"/>
    <col min="12552" max="12552" width="12.42578125" style="671" customWidth="1"/>
    <col min="12553" max="12553" width="11" style="671" customWidth="1"/>
    <col min="12554" max="12578" width="9.140625" style="671" customWidth="1"/>
    <col min="12579" max="12800" width="11.42578125" style="671"/>
    <col min="12801" max="12801" width="48.42578125" style="671" customWidth="1"/>
    <col min="12802" max="12802" width="0" style="671" hidden="1" customWidth="1"/>
    <col min="12803" max="12803" width="13.85546875" style="671" bestFit="1" customWidth="1"/>
    <col min="12804" max="12807" width="13.7109375" style="671" bestFit="1" customWidth="1"/>
    <col min="12808" max="12808" width="12.42578125" style="671" customWidth="1"/>
    <col min="12809" max="12809" width="11" style="671" customWidth="1"/>
    <col min="12810" max="12834" width="9.140625" style="671" customWidth="1"/>
    <col min="12835" max="13056" width="11.42578125" style="671"/>
    <col min="13057" max="13057" width="48.42578125" style="671" customWidth="1"/>
    <col min="13058" max="13058" width="0" style="671" hidden="1" customWidth="1"/>
    <col min="13059" max="13059" width="13.85546875" style="671" bestFit="1" customWidth="1"/>
    <col min="13060" max="13063" width="13.7109375" style="671" bestFit="1" customWidth="1"/>
    <col min="13064" max="13064" width="12.42578125" style="671" customWidth="1"/>
    <col min="13065" max="13065" width="11" style="671" customWidth="1"/>
    <col min="13066" max="13090" width="9.140625" style="671" customWidth="1"/>
    <col min="13091" max="13312" width="11.42578125" style="671"/>
    <col min="13313" max="13313" width="48.42578125" style="671" customWidth="1"/>
    <col min="13314" max="13314" width="0" style="671" hidden="1" customWidth="1"/>
    <col min="13315" max="13315" width="13.85546875" style="671" bestFit="1" customWidth="1"/>
    <col min="13316" max="13319" width="13.7109375" style="671" bestFit="1" customWidth="1"/>
    <col min="13320" max="13320" width="12.42578125" style="671" customWidth="1"/>
    <col min="13321" max="13321" width="11" style="671" customWidth="1"/>
    <col min="13322" max="13346" width="9.140625" style="671" customWidth="1"/>
    <col min="13347" max="13568" width="11.42578125" style="671"/>
    <col min="13569" max="13569" width="48.42578125" style="671" customWidth="1"/>
    <col min="13570" max="13570" width="0" style="671" hidden="1" customWidth="1"/>
    <col min="13571" max="13571" width="13.85546875" style="671" bestFit="1" customWidth="1"/>
    <col min="13572" max="13575" width="13.7109375" style="671" bestFit="1" customWidth="1"/>
    <col min="13576" max="13576" width="12.42578125" style="671" customWidth="1"/>
    <col min="13577" max="13577" width="11" style="671" customWidth="1"/>
    <col min="13578" max="13602" width="9.140625" style="671" customWidth="1"/>
    <col min="13603" max="13824" width="11.42578125" style="671"/>
    <col min="13825" max="13825" width="48.42578125" style="671" customWidth="1"/>
    <col min="13826" max="13826" width="0" style="671" hidden="1" customWidth="1"/>
    <col min="13827" max="13827" width="13.85546875" style="671" bestFit="1" customWidth="1"/>
    <col min="13828" max="13831" width="13.7109375" style="671" bestFit="1" customWidth="1"/>
    <col min="13832" max="13832" width="12.42578125" style="671" customWidth="1"/>
    <col min="13833" max="13833" width="11" style="671" customWidth="1"/>
    <col min="13834" max="13858" width="9.140625" style="671" customWidth="1"/>
    <col min="13859" max="14080" width="11.42578125" style="671"/>
    <col min="14081" max="14081" width="48.42578125" style="671" customWidth="1"/>
    <col min="14082" max="14082" width="0" style="671" hidden="1" customWidth="1"/>
    <col min="14083" max="14083" width="13.85546875" style="671" bestFit="1" customWidth="1"/>
    <col min="14084" max="14087" width="13.7109375" style="671" bestFit="1" customWidth="1"/>
    <col min="14088" max="14088" width="12.42578125" style="671" customWidth="1"/>
    <col min="14089" max="14089" width="11" style="671" customWidth="1"/>
    <col min="14090" max="14114" width="9.140625" style="671" customWidth="1"/>
    <col min="14115" max="14336" width="11.42578125" style="671"/>
    <col min="14337" max="14337" width="48.42578125" style="671" customWidth="1"/>
    <col min="14338" max="14338" width="0" style="671" hidden="1" customWidth="1"/>
    <col min="14339" max="14339" width="13.85546875" style="671" bestFit="1" customWidth="1"/>
    <col min="14340" max="14343" width="13.7109375" style="671" bestFit="1" customWidth="1"/>
    <col min="14344" max="14344" width="12.42578125" style="671" customWidth="1"/>
    <col min="14345" max="14345" width="11" style="671" customWidth="1"/>
    <col min="14346" max="14370" width="9.140625" style="671" customWidth="1"/>
    <col min="14371" max="14592" width="11.42578125" style="671"/>
    <col min="14593" max="14593" width="48.42578125" style="671" customWidth="1"/>
    <col min="14594" max="14594" width="0" style="671" hidden="1" customWidth="1"/>
    <col min="14595" max="14595" width="13.85546875" style="671" bestFit="1" customWidth="1"/>
    <col min="14596" max="14599" width="13.7109375" style="671" bestFit="1" customWidth="1"/>
    <col min="14600" max="14600" width="12.42578125" style="671" customWidth="1"/>
    <col min="14601" max="14601" width="11" style="671" customWidth="1"/>
    <col min="14602" max="14626" width="9.140625" style="671" customWidth="1"/>
    <col min="14627" max="14848" width="11.42578125" style="671"/>
    <col min="14849" max="14849" width="48.42578125" style="671" customWidth="1"/>
    <col min="14850" max="14850" width="0" style="671" hidden="1" customWidth="1"/>
    <col min="14851" max="14851" width="13.85546875" style="671" bestFit="1" customWidth="1"/>
    <col min="14852" max="14855" width="13.7109375" style="671" bestFit="1" customWidth="1"/>
    <col min="14856" max="14856" width="12.42578125" style="671" customWidth="1"/>
    <col min="14857" max="14857" width="11" style="671" customWidth="1"/>
    <col min="14858" max="14882" width="9.140625" style="671" customWidth="1"/>
    <col min="14883" max="15104" width="11.42578125" style="671"/>
    <col min="15105" max="15105" width="48.42578125" style="671" customWidth="1"/>
    <col min="15106" max="15106" width="0" style="671" hidden="1" customWidth="1"/>
    <col min="15107" max="15107" width="13.85546875" style="671" bestFit="1" customWidth="1"/>
    <col min="15108" max="15111" width="13.7109375" style="671" bestFit="1" customWidth="1"/>
    <col min="15112" max="15112" width="12.42578125" style="671" customWidth="1"/>
    <col min="15113" max="15113" width="11" style="671" customWidth="1"/>
    <col min="15114" max="15138" width="9.140625" style="671" customWidth="1"/>
    <col min="15139" max="15360" width="11.42578125" style="671"/>
    <col min="15361" max="15361" width="48.42578125" style="671" customWidth="1"/>
    <col min="15362" max="15362" width="0" style="671" hidden="1" customWidth="1"/>
    <col min="15363" max="15363" width="13.85546875" style="671" bestFit="1" customWidth="1"/>
    <col min="15364" max="15367" width="13.7109375" style="671" bestFit="1" customWidth="1"/>
    <col min="15368" max="15368" width="12.42578125" style="671" customWidth="1"/>
    <col min="15369" max="15369" width="11" style="671" customWidth="1"/>
    <col min="15370" max="15394" width="9.140625" style="671" customWidth="1"/>
    <col min="15395" max="15616" width="11.42578125" style="671"/>
    <col min="15617" max="15617" width="48.42578125" style="671" customWidth="1"/>
    <col min="15618" max="15618" width="0" style="671" hidden="1" customWidth="1"/>
    <col min="15619" max="15619" width="13.85546875" style="671" bestFit="1" customWidth="1"/>
    <col min="15620" max="15623" width="13.7109375" style="671" bestFit="1" customWidth="1"/>
    <col min="15624" max="15624" width="12.42578125" style="671" customWidth="1"/>
    <col min="15625" max="15625" width="11" style="671" customWidth="1"/>
    <col min="15626" max="15650" width="9.140625" style="671" customWidth="1"/>
    <col min="15651" max="15872" width="11.42578125" style="671"/>
    <col min="15873" max="15873" width="48.42578125" style="671" customWidth="1"/>
    <col min="15874" max="15874" width="0" style="671" hidden="1" customWidth="1"/>
    <col min="15875" max="15875" width="13.85546875" style="671" bestFit="1" customWidth="1"/>
    <col min="15876" max="15879" width="13.7109375" style="671" bestFit="1" customWidth="1"/>
    <col min="15880" max="15880" width="12.42578125" style="671" customWidth="1"/>
    <col min="15881" max="15881" width="11" style="671" customWidth="1"/>
    <col min="15882" max="15906" width="9.140625" style="671" customWidth="1"/>
    <col min="15907" max="16128" width="11.42578125" style="671"/>
    <col min="16129" max="16129" width="48.42578125" style="671" customWidth="1"/>
    <col min="16130" max="16130" width="0" style="671" hidden="1" customWidth="1"/>
    <col min="16131" max="16131" width="13.85546875" style="671" bestFit="1" customWidth="1"/>
    <col min="16132" max="16135" width="13.7109375" style="671" bestFit="1" customWidth="1"/>
    <col min="16136" max="16136" width="12.42578125" style="671" customWidth="1"/>
    <col min="16137" max="16137" width="11" style="671" customWidth="1"/>
    <col min="16138" max="16162" width="9.140625" style="671" customWidth="1"/>
    <col min="16163" max="16384" width="11.42578125" style="671"/>
  </cols>
  <sheetData>
    <row r="1" spans="1:13" x14ac:dyDescent="0.25">
      <c r="A1" s="584" t="s">
        <v>1264</v>
      </c>
    </row>
    <row r="2" spans="1:13" x14ac:dyDescent="0.25">
      <c r="A2" s="584"/>
    </row>
    <row r="3" spans="1:13" ht="11.45" customHeight="1" x14ac:dyDescent="0.25">
      <c r="A3" s="1332" t="s">
        <v>1241</v>
      </c>
      <c r="B3" s="671"/>
    </row>
    <row r="4" spans="1:13" ht="11.45" customHeight="1" thickBot="1" x14ac:dyDescent="0.3">
      <c r="A4" s="1332"/>
      <c r="B4" s="671"/>
    </row>
    <row r="5" spans="1:13" ht="17.100000000000001" customHeight="1" x14ac:dyDescent="0.25">
      <c r="A5" s="1332"/>
      <c r="B5" s="1332"/>
      <c r="C5" s="1362">
        <v>39813</v>
      </c>
      <c r="D5" s="1362">
        <v>40178</v>
      </c>
      <c r="E5" s="1362">
        <v>40543</v>
      </c>
      <c r="F5" s="1362">
        <v>40908</v>
      </c>
      <c r="G5" s="1362">
        <v>41274</v>
      </c>
      <c r="H5" s="965"/>
      <c r="I5" s="1333" t="s">
        <v>1242</v>
      </c>
      <c r="J5" s="1249"/>
      <c r="K5" s="1249"/>
      <c r="L5" s="1249"/>
      <c r="M5" s="1334"/>
    </row>
    <row r="6" spans="1:13" ht="17.100000000000001" customHeight="1" x14ac:dyDescent="0.25">
      <c r="A6" s="885" t="s">
        <v>386</v>
      </c>
      <c r="B6" s="885"/>
      <c r="C6" s="973" t="s">
        <v>862</v>
      </c>
      <c r="D6" s="973" t="s">
        <v>862</v>
      </c>
      <c r="E6" s="973" t="s">
        <v>862</v>
      </c>
      <c r="F6" s="973" t="s">
        <v>862</v>
      </c>
      <c r="G6" s="973" t="s">
        <v>862</v>
      </c>
      <c r="H6" s="965"/>
      <c r="I6" s="1335" t="s">
        <v>1243</v>
      </c>
      <c r="J6" s="1336" t="s">
        <v>240</v>
      </c>
      <c r="K6" s="1336" t="s">
        <v>1244</v>
      </c>
      <c r="L6" s="1336" t="s">
        <v>1245</v>
      </c>
      <c r="M6" s="1337" t="s">
        <v>1246</v>
      </c>
    </row>
    <row r="7" spans="1:13" ht="17.100000000000001" customHeight="1" x14ac:dyDescent="0.25">
      <c r="A7" s="900" t="s">
        <v>388</v>
      </c>
      <c r="B7" s="900"/>
      <c r="C7" s="1361">
        <v>15924</v>
      </c>
      <c r="D7" s="1361">
        <v>15780</v>
      </c>
      <c r="E7" s="1361">
        <v>17059.75475</v>
      </c>
      <c r="F7" s="1361">
        <v>17593.432250000002</v>
      </c>
      <c r="G7" s="1361">
        <v>17214</v>
      </c>
      <c r="H7" s="965"/>
      <c r="I7" s="735"/>
      <c r="J7" s="740"/>
      <c r="K7" s="740"/>
      <c r="L7" s="740"/>
      <c r="M7" s="677"/>
    </row>
    <row r="8" spans="1:13" ht="17.100000000000001" customHeight="1" x14ac:dyDescent="0.25">
      <c r="A8" s="968" t="s">
        <v>389</v>
      </c>
      <c r="B8" s="968"/>
      <c r="C8" s="969">
        <v>517.58875</v>
      </c>
      <c r="D8" s="969">
        <v>516.101</v>
      </c>
      <c r="E8" s="969">
        <v>529.52149999999995</v>
      </c>
      <c r="F8" s="969">
        <v>559.73699999999997</v>
      </c>
      <c r="G8" s="969">
        <v>598.75599999999997</v>
      </c>
      <c r="H8" s="965" t="s">
        <v>1261</v>
      </c>
      <c r="I8" s="1338">
        <f>+G8</f>
        <v>598.75599999999997</v>
      </c>
      <c r="J8" s="740"/>
      <c r="K8" s="740"/>
      <c r="L8" s="740"/>
      <c r="M8" s="677"/>
    </row>
    <row r="9" spans="1:13" ht="17.100000000000001" customHeight="1" x14ac:dyDescent="0.25">
      <c r="A9" s="968" t="s">
        <v>53</v>
      </c>
      <c r="B9" s="968"/>
      <c r="C9" s="969">
        <v>7078</v>
      </c>
      <c r="D9" s="969">
        <v>7437</v>
      </c>
      <c r="E9" s="969">
        <v>7845.1872499999999</v>
      </c>
      <c r="F9" s="969">
        <v>8237.5837499999998</v>
      </c>
      <c r="G9" s="969">
        <v>8263.14</v>
      </c>
      <c r="H9" s="965" t="s">
        <v>1262</v>
      </c>
      <c r="I9" s="735"/>
      <c r="J9" s="740"/>
      <c r="K9" s="1339">
        <f>+G9</f>
        <v>8263.14</v>
      </c>
      <c r="L9" s="740"/>
      <c r="M9" s="677"/>
    </row>
    <row r="10" spans="1:13" ht="17.100000000000001" customHeight="1" x14ac:dyDescent="0.25">
      <c r="A10" s="968" t="s">
        <v>1247</v>
      </c>
      <c r="B10" s="968"/>
      <c r="C10" s="969">
        <v>8328.0147500000003</v>
      </c>
      <c r="D10" s="969">
        <v>7826.8585000000003</v>
      </c>
      <c r="E10" s="969">
        <v>8685.0460000000003</v>
      </c>
      <c r="F10" s="969">
        <v>8796.1115000000009</v>
      </c>
      <c r="G10" s="969">
        <v>8352.3245000000006</v>
      </c>
      <c r="H10" s="965" t="s">
        <v>1261</v>
      </c>
      <c r="I10" s="1338">
        <f>+G10</f>
        <v>8352.3245000000006</v>
      </c>
      <c r="J10" s="740"/>
      <c r="K10" s="740"/>
      <c r="L10" s="740"/>
      <c r="M10" s="677"/>
    </row>
    <row r="11" spans="1:13" ht="17.100000000000001" customHeight="1" x14ac:dyDescent="0.25">
      <c r="A11" s="900" t="s">
        <v>391</v>
      </c>
      <c r="B11" s="900"/>
      <c r="C11" s="1361">
        <v>33472</v>
      </c>
      <c r="D11" s="1361">
        <v>35862.198750000003</v>
      </c>
      <c r="E11" s="1361">
        <v>33862.607000000004</v>
      </c>
      <c r="F11" s="1361">
        <v>37293.3485</v>
      </c>
      <c r="G11" s="1361">
        <v>34721.3295</v>
      </c>
      <c r="H11" s="965"/>
      <c r="I11" s="735"/>
      <c r="J11" s="740"/>
      <c r="K11" s="740"/>
      <c r="L11" s="740"/>
      <c r="M11" s="677"/>
    </row>
    <row r="12" spans="1:13" ht="17.100000000000001" customHeight="1" x14ac:dyDescent="0.25">
      <c r="A12" s="968" t="s">
        <v>392</v>
      </c>
      <c r="B12" s="968"/>
      <c r="C12" s="969">
        <v>4070.68975</v>
      </c>
      <c r="D12" s="969">
        <v>5815.9852499999997</v>
      </c>
      <c r="E12" s="969">
        <v>5289.9040000000005</v>
      </c>
      <c r="F12" s="969">
        <v>5462.6992499999997</v>
      </c>
      <c r="G12" s="969">
        <v>4097.8247499999998</v>
      </c>
      <c r="H12" s="965" t="s">
        <v>240</v>
      </c>
      <c r="I12" s="735"/>
      <c r="J12" s="1339">
        <f>+G12</f>
        <v>4097.8247499999998</v>
      </c>
      <c r="K12" s="740"/>
      <c r="L12" s="740"/>
      <c r="M12" s="677"/>
    </row>
    <row r="13" spans="1:13" ht="17.100000000000001" customHeight="1" x14ac:dyDescent="0.25">
      <c r="A13" s="968" t="s">
        <v>393</v>
      </c>
      <c r="B13" s="968"/>
      <c r="C13" s="969">
        <v>29071</v>
      </c>
      <c r="D13" s="969">
        <v>29474.328000000001</v>
      </c>
      <c r="E13" s="969">
        <v>28247.4725</v>
      </c>
      <c r="F13" s="969">
        <v>27951.08425</v>
      </c>
      <c r="G13" s="969">
        <v>29731.186750000001</v>
      </c>
      <c r="H13" s="965" t="s">
        <v>240</v>
      </c>
      <c r="I13" s="735"/>
      <c r="J13" s="1339">
        <f>+G13</f>
        <v>29731.186750000001</v>
      </c>
      <c r="K13" s="740"/>
      <c r="L13" s="740"/>
      <c r="M13" s="677"/>
    </row>
    <row r="14" spans="1:13" ht="17.100000000000001" customHeight="1" x14ac:dyDescent="0.25">
      <c r="A14" s="968" t="s">
        <v>1248</v>
      </c>
      <c r="B14" s="968"/>
      <c r="C14" s="969">
        <v>115.65050000000002</v>
      </c>
      <c r="D14" s="969">
        <v>301.88549999999998</v>
      </c>
      <c r="E14" s="969">
        <v>204.23050000000001</v>
      </c>
      <c r="F14" s="969">
        <v>2402.5650000000001</v>
      </c>
      <c r="G14" s="969">
        <v>272</v>
      </c>
      <c r="H14" s="965" t="s">
        <v>1261</v>
      </c>
      <c r="I14" s="1338">
        <f>+G14</f>
        <v>272</v>
      </c>
      <c r="J14" s="740"/>
      <c r="K14" s="740"/>
      <c r="L14" s="740"/>
      <c r="M14" s="677"/>
    </row>
    <row r="15" spans="1:13" ht="17.100000000000001" customHeight="1" x14ac:dyDescent="0.25">
      <c r="A15" s="968" t="s">
        <v>394</v>
      </c>
      <c r="B15" s="968"/>
      <c r="C15" s="969">
        <v>214.44024999999999</v>
      </c>
      <c r="D15" s="969">
        <v>269.83300000000003</v>
      </c>
      <c r="E15" s="969">
        <v>121.01224999999999</v>
      </c>
      <c r="F15" s="969">
        <v>1476.5045</v>
      </c>
      <c r="G15" s="969">
        <v>620.31799999999998</v>
      </c>
      <c r="H15" s="965" t="s">
        <v>1261</v>
      </c>
      <c r="I15" s="1338">
        <f>+G15</f>
        <v>620.31799999999998</v>
      </c>
      <c r="J15" s="740"/>
      <c r="K15" s="740"/>
      <c r="L15" s="740"/>
      <c r="M15" s="677"/>
    </row>
    <row r="16" spans="1:13" ht="17.100000000000001" customHeight="1" x14ac:dyDescent="0.25">
      <c r="A16" s="966" t="s">
        <v>395</v>
      </c>
      <c r="B16" s="1340"/>
      <c r="C16" s="1341">
        <v>49396</v>
      </c>
      <c r="D16" s="1341">
        <v>51643</v>
      </c>
      <c r="E16" s="1341">
        <v>50922.361749999996</v>
      </c>
      <c r="F16" s="1341">
        <v>54886.780749999998</v>
      </c>
      <c r="G16" s="1341">
        <v>51936</v>
      </c>
      <c r="H16" s="965"/>
      <c r="I16" s="1338"/>
      <c r="J16" s="740"/>
      <c r="K16" s="740"/>
      <c r="L16" s="740"/>
      <c r="M16" s="677"/>
    </row>
    <row r="17" spans="1:15" ht="17.100000000000001" customHeight="1" x14ac:dyDescent="0.25">
      <c r="A17" s="900" t="s">
        <v>396</v>
      </c>
      <c r="B17" s="900"/>
      <c r="C17" s="1361">
        <v>16515</v>
      </c>
      <c r="D17" s="1361">
        <v>16652.418249999999</v>
      </c>
      <c r="E17" s="1361">
        <v>17691.4215</v>
      </c>
      <c r="F17" s="1361">
        <v>18263.078249999999</v>
      </c>
      <c r="G17" s="1361">
        <v>18675.5255</v>
      </c>
      <c r="H17" s="965"/>
      <c r="I17" s="1338"/>
      <c r="J17" s="740"/>
      <c r="K17" s="740"/>
      <c r="L17" s="1339">
        <f>+G17</f>
        <v>18675.5255</v>
      </c>
      <c r="M17" s="677"/>
    </row>
    <row r="18" spans="1:15" ht="17.100000000000001" customHeight="1" x14ac:dyDescent="0.25">
      <c r="A18" s="968" t="s">
        <v>397</v>
      </c>
      <c r="B18" s="968"/>
      <c r="C18" s="969">
        <v>886.18349999999998</v>
      </c>
      <c r="D18" s="969">
        <v>886.18349999999998</v>
      </c>
      <c r="E18" s="969">
        <v>886.18349999999998</v>
      </c>
      <c r="F18" s="969">
        <v>886.18349999999998</v>
      </c>
      <c r="G18" s="969">
        <v>886.18349999999998</v>
      </c>
      <c r="H18" s="965" t="s">
        <v>1263</v>
      </c>
      <c r="I18" s="735"/>
      <c r="J18" s="740"/>
      <c r="K18" s="740"/>
      <c r="L18" s="740"/>
      <c r="M18" s="677"/>
    </row>
    <row r="19" spans="1:15" ht="17.100000000000001" customHeight="1" x14ac:dyDescent="0.25">
      <c r="A19" s="968" t="s">
        <v>398</v>
      </c>
      <c r="B19" s="968"/>
      <c r="C19" s="969">
        <v>15629</v>
      </c>
      <c r="D19" s="969">
        <v>15766.23475</v>
      </c>
      <c r="E19" s="969">
        <v>16805.238000000001</v>
      </c>
      <c r="F19" s="969">
        <v>17376.894749999999</v>
      </c>
      <c r="G19" s="969">
        <v>17789.342000000001</v>
      </c>
      <c r="H19" s="965" t="s">
        <v>1263</v>
      </c>
      <c r="I19" s="735"/>
      <c r="J19" s="740"/>
      <c r="K19" s="740"/>
      <c r="L19" s="740"/>
      <c r="M19" s="677"/>
    </row>
    <row r="20" spans="1:15" ht="17.100000000000001" customHeight="1" x14ac:dyDescent="0.25">
      <c r="A20" s="900" t="s">
        <v>399</v>
      </c>
      <c r="B20" s="900"/>
      <c r="C20" s="1361">
        <v>2575</v>
      </c>
      <c r="D20" s="1361">
        <v>3533</v>
      </c>
      <c r="E20" s="1361">
        <v>3125.0155</v>
      </c>
      <c r="F20" s="1361">
        <v>6855.0415000000003</v>
      </c>
      <c r="G20" s="1361">
        <v>6303.6180000000004</v>
      </c>
      <c r="H20" s="965"/>
      <c r="I20" s="735"/>
      <c r="J20" s="740"/>
      <c r="K20" s="740"/>
      <c r="L20" s="740"/>
      <c r="M20" s="677"/>
    </row>
    <row r="21" spans="1:15" ht="17.100000000000001" customHeight="1" x14ac:dyDescent="0.25">
      <c r="A21" s="968" t="s">
        <v>1249</v>
      </c>
      <c r="B21" s="968"/>
      <c r="C21" s="969">
        <v>2428</v>
      </c>
      <c r="D21" s="969">
        <v>3356</v>
      </c>
      <c r="E21" s="969">
        <v>3032.1357499999999</v>
      </c>
      <c r="F21" s="969">
        <v>6745.0159999999996</v>
      </c>
      <c r="G21" s="969">
        <v>6162.4809999999998</v>
      </c>
      <c r="H21" s="965" t="s">
        <v>245</v>
      </c>
      <c r="I21" s="735"/>
      <c r="J21" s="740"/>
      <c r="K21" s="740"/>
      <c r="L21" s="740"/>
      <c r="M21" s="1342">
        <f>+G21</f>
        <v>6162.4809999999998</v>
      </c>
    </row>
    <row r="22" spans="1:15" ht="17.100000000000001" customHeight="1" x14ac:dyDescent="0.25">
      <c r="A22" s="968" t="s">
        <v>1250</v>
      </c>
      <c r="B22" s="968"/>
      <c r="C22" s="969">
        <v>146.774</v>
      </c>
      <c r="D22" s="969">
        <v>177.41925000000001</v>
      </c>
      <c r="E22" s="969">
        <v>92.879750000000001</v>
      </c>
      <c r="F22" s="969">
        <v>110.02549999999999</v>
      </c>
      <c r="G22" s="969">
        <v>141.137</v>
      </c>
      <c r="H22" s="965" t="s">
        <v>1261</v>
      </c>
      <c r="I22" s="1338">
        <f>-G22</f>
        <v>-141.137</v>
      </c>
      <c r="J22" s="740"/>
      <c r="K22" s="740"/>
      <c r="L22" s="740"/>
      <c r="M22" s="677"/>
    </row>
    <row r="23" spans="1:15" ht="17.100000000000001" customHeight="1" x14ac:dyDescent="0.25">
      <c r="A23" s="900" t="s">
        <v>1251</v>
      </c>
      <c r="B23" s="900"/>
      <c r="C23" s="1361">
        <v>30306</v>
      </c>
      <c r="D23" s="1361">
        <v>31456.73675</v>
      </c>
      <c r="E23" s="1361">
        <v>30105.924749999998</v>
      </c>
      <c r="F23" s="1361">
        <v>29768.661</v>
      </c>
      <c r="G23" s="1361">
        <v>26957</v>
      </c>
      <c r="H23" s="965"/>
      <c r="I23" s="735"/>
      <c r="J23" s="740"/>
      <c r="K23" s="740"/>
      <c r="L23" s="740"/>
      <c r="M23" s="677"/>
    </row>
    <row r="24" spans="1:15" ht="17.100000000000001" customHeight="1" x14ac:dyDescent="0.25">
      <c r="A24" s="968" t="s">
        <v>867</v>
      </c>
      <c r="B24" s="968"/>
      <c r="C24" s="969">
        <v>6831</v>
      </c>
      <c r="D24" s="969">
        <v>5970.8334999999997</v>
      </c>
      <c r="E24" s="969">
        <v>6223.3022499999997</v>
      </c>
      <c r="F24" s="969">
        <v>4687.9979999999996</v>
      </c>
      <c r="G24" s="969">
        <v>4602</v>
      </c>
      <c r="H24" s="965" t="s">
        <v>245</v>
      </c>
      <c r="I24" s="735"/>
      <c r="J24" s="740"/>
      <c r="K24" s="740"/>
      <c r="L24" s="740"/>
      <c r="M24" s="1342">
        <f>+G24</f>
        <v>4602</v>
      </c>
    </row>
    <row r="25" spans="1:15" ht="17.100000000000001" customHeight="1" x14ac:dyDescent="0.25">
      <c r="A25" s="968" t="s">
        <v>402</v>
      </c>
      <c r="B25" s="968"/>
      <c r="C25" s="969">
        <v>20586.113000000001</v>
      </c>
      <c r="D25" s="969">
        <v>21727.474750000001</v>
      </c>
      <c r="E25" s="969">
        <v>21037.38825</v>
      </c>
      <c r="F25" s="969">
        <v>21956.828000000001</v>
      </c>
      <c r="G25" s="969">
        <v>18509.169750000001</v>
      </c>
      <c r="H25" s="965" t="s">
        <v>240</v>
      </c>
      <c r="I25" s="735"/>
      <c r="J25" s="1339">
        <f>-G25</f>
        <v>-18509.169750000001</v>
      </c>
      <c r="K25" s="740"/>
      <c r="L25" s="740"/>
      <c r="M25" s="677"/>
    </row>
    <row r="26" spans="1:15" ht="17.100000000000001" customHeight="1" x14ac:dyDescent="0.25">
      <c r="A26" s="968" t="s">
        <v>1252</v>
      </c>
      <c r="B26" s="968"/>
      <c r="C26" s="969">
        <v>2888.9665</v>
      </c>
      <c r="D26" s="969">
        <v>3758.4285</v>
      </c>
      <c r="E26" s="969">
        <v>2845.23425</v>
      </c>
      <c r="F26" s="969">
        <v>3123.835</v>
      </c>
      <c r="G26" s="969">
        <v>3845.2345</v>
      </c>
      <c r="H26" s="965" t="s">
        <v>1261</v>
      </c>
      <c r="I26" s="1338">
        <f>-G26</f>
        <v>-3845.2345</v>
      </c>
      <c r="J26" s="740"/>
      <c r="K26" s="740"/>
      <c r="L26" s="740"/>
      <c r="M26" s="677"/>
    </row>
    <row r="27" spans="1:15" ht="17.100000000000001" customHeight="1" x14ac:dyDescent="0.25">
      <c r="A27" s="1343" t="s">
        <v>403</v>
      </c>
      <c r="B27" s="1343"/>
      <c r="C27" s="967">
        <v>49396</v>
      </c>
      <c r="D27" s="967">
        <v>51643</v>
      </c>
      <c r="E27" s="967">
        <v>50922.361749999996</v>
      </c>
      <c r="F27" s="967">
        <v>54886.780749999998</v>
      </c>
      <c r="G27" s="967">
        <v>51936</v>
      </c>
      <c r="H27" s="965"/>
      <c r="I27" s="1344">
        <f>SUM(I6:I26)</f>
        <v>5857.0269999999982</v>
      </c>
      <c r="J27" s="1345">
        <f>SUM(J6:J26)</f>
        <v>15319.84175</v>
      </c>
      <c r="K27" s="1345">
        <f>SUM(K6:K26)</f>
        <v>8263.14</v>
      </c>
      <c r="L27" s="1346">
        <f>SUM(L6:L26)</f>
        <v>18675.5255</v>
      </c>
      <c r="M27" s="1347">
        <f>SUM(M6:M26)</f>
        <v>10764.481</v>
      </c>
      <c r="O27" s="970">
        <f>+G27-G25-G26-G22</f>
        <v>29440.458750000002</v>
      </c>
    </row>
    <row r="28" spans="1:15" ht="17.100000000000001" customHeight="1" thickBot="1" x14ac:dyDescent="0.3">
      <c r="A28" s="671"/>
      <c r="B28" s="671"/>
      <c r="C28" s="671"/>
      <c r="D28" s="671"/>
      <c r="E28" s="671"/>
      <c r="F28" s="671"/>
      <c r="G28" s="671"/>
      <c r="H28" s="965"/>
      <c r="I28" s="1348"/>
      <c r="J28" s="1349"/>
      <c r="K28" s="1350">
        <f>+K27+J27+I27</f>
        <v>29440.008749999997</v>
      </c>
      <c r="L28" s="1350">
        <f>+L27+M27</f>
        <v>29440.0065</v>
      </c>
      <c r="M28" s="1351"/>
    </row>
    <row r="29" spans="1:15" ht="17.100000000000001" customHeight="1" x14ac:dyDescent="0.25">
      <c r="A29" s="900"/>
      <c r="B29" s="900"/>
      <c r="C29" s="670" t="s">
        <v>1253</v>
      </c>
      <c r="D29" s="969"/>
      <c r="E29" s="969"/>
      <c r="F29" s="969"/>
      <c r="G29" s="969"/>
      <c r="H29" s="965"/>
      <c r="I29" s="671"/>
      <c r="L29" s="1352"/>
    </row>
    <row r="30" spans="1:15" ht="17.100000000000001" customHeight="1" x14ac:dyDescent="0.25">
      <c r="A30" s="1383" t="s">
        <v>1265</v>
      </c>
      <c r="B30" s="900"/>
      <c r="D30" s="969"/>
      <c r="E30" s="969"/>
      <c r="F30" s="969"/>
      <c r="G30" s="969"/>
      <c r="H30" s="965"/>
      <c r="I30" s="671"/>
      <c r="L30" s="1352"/>
    </row>
    <row r="31" spans="1:15" ht="17.100000000000001" customHeight="1" x14ac:dyDescent="0.25">
      <c r="A31" s="900"/>
      <c r="B31" s="900"/>
      <c r="C31" s="969"/>
      <c r="D31" s="969"/>
      <c r="E31" s="969"/>
      <c r="F31" s="969"/>
      <c r="G31" s="969"/>
      <c r="H31" s="969"/>
      <c r="L31" s="1352"/>
    </row>
    <row r="32" spans="1:15" ht="17.100000000000001" customHeight="1" x14ac:dyDescent="0.25">
      <c r="A32" s="1332" t="s">
        <v>1241</v>
      </c>
      <c r="B32" s="900"/>
      <c r="C32" s="969"/>
      <c r="D32" s="969"/>
      <c r="E32" s="969"/>
      <c r="F32" s="969"/>
      <c r="G32" s="969"/>
      <c r="H32" s="969"/>
      <c r="L32" s="1352"/>
    </row>
    <row r="33" spans="1:34" ht="17.100000000000001" customHeight="1" x14ac:dyDescent="0.25">
      <c r="A33" s="1332"/>
      <c r="B33" s="1332"/>
      <c r="C33" s="1362">
        <v>39813</v>
      </c>
      <c r="D33" s="1362">
        <v>40178</v>
      </c>
      <c r="E33" s="1362">
        <v>40543</v>
      </c>
      <c r="F33" s="1362">
        <v>40908</v>
      </c>
      <c r="G33" s="1362">
        <v>41274</v>
      </c>
      <c r="H33" s="965"/>
      <c r="AB33" s="671"/>
      <c r="AC33" s="671"/>
      <c r="AD33" s="671"/>
      <c r="AE33" s="671"/>
      <c r="AF33" s="671"/>
      <c r="AG33" s="671"/>
      <c r="AH33" s="671"/>
    </row>
    <row r="34" spans="1:34" ht="17.100000000000001" customHeight="1" x14ac:dyDescent="0.25">
      <c r="A34" s="885" t="s">
        <v>386</v>
      </c>
      <c r="B34" s="885"/>
      <c r="C34" s="973" t="s">
        <v>862</v>
      </c>
      <c r="D34" s="973" t="s">
        <v>862</v>
      </c>
      <c r="E34" s="973" t="s">
        <v>862</v>
      </c>
      <c r="F34" s="973" t="s">
        <v>862</v>
      </c>
      <c r="G34" s="973" t="s">
        <v>862</v>
      </c>
      <c r="H34" s="973"/>
      <c r="AB34" s="671"/>
      <c r="AC34" s="671"/>
      <c r="AD34" s="671"/>
      <c r="AE34" s="671"/>
      <c r="AF34" s="671"/>
      <c r="AG34" s="671"/>
      <c r="AH34" s="671"/>
    </row>
    <row r="35" spans="1:34" ht="17.100000000000001" customHeight="1" x14ac:dyDescent="0.25">
      <c r="A35" s="900" t="s">
        <v>388</v>
      </c>
      <c r="B35" s="900"/>
      <c r="C35" s="1361">
        <v>15924</v>
      </c>
      <c r="D35" s="1361">
        <v>15780</v>
      </c>
      <c r="E35" s="1361">
        <v>17059.75475</v>
      </c>
      <c r="F35" s="1361">
        <v>17593.432250000002</v>
      </c>
      <c r="G35" s="1361">
        <v>17214</v>
      </c>
      <c r="H35" s="969">
        <f>+G35-C35</f>
        <v>1290</v>
      </c>
      <c r="AB35" s="671"/>
      <c r="AC35" s="671"/>
      <c r="AD35" s="671"/>
      <c r="AE35" s="671"/>
      <c r="AF35" s="671"/>
      <c r="AG35" s="671"/>
      <c r="AH35" s="671"/>
    </row>
    <row r="36" spans="1:34" ht="17.100000000000001" customHeight="1" x14ac:dyDescent="0.25">
      <c r="A36" s="968" t="s">
        <v>389</v>
      </c>
      <c r="B36" s="968"/>
      <c r="C36" s="969">
        <v>517.58875</v>
      </c>
      <c r="D36" s="969">
        <v>516.101</v>
      </c>
      <c r="E36" s="969">
        <v>529.52149999999995</v>
      </c>
      <c r="F36" s="969">
        <v>559.73699999999997</v>
      </c>
      <c r="G36" s="969">
        <v>598.75599999999997</v>
      </c>
      <c r="H36" s="969"/>
      <c r="AB36" s="671"/>
      <c r="AC36" s="671"/>
      <c r="AD36" s="671"/>
      <c r="AE36" s="671"/>
      <c r="AF36" s="671"/>
      <c r="AG36" s="671"/>
      <c r="AH36" s="671"/>
    </row>
    <row r="37" spans="1:34" ht="17.100000000000001" customHeight="1" x14ac:dyDescent="0.25">
      <c r="A37" s="968" t="s">
        <v>53</v>
      </c>
      <c r="B37" s="968"/>
      <c r="C37" s="969">
        <v>7078</v>
      </c>
      <c r="D37" s="969">
        <v>7437</v>
      </c>
      <c r="E37" s="969">
        <v>7845.1872499999999</v>
      </c>
      <c r="F37" s="969">
        <v>8237.5837499999998</v>
      </c>
      <c r="G37" s="969">
        <v>8263.14</v>
      </c>
      <c r="H37" s="969"/>
      <c r="AB37" s="671"/>
      <c r="AC37" s="671"/>
      <c r="AD37" s="671"/>
      <c r="AE37" s="671"/>
      <c r="AF37" s="671"/>
      <c r="AG37" s="671"/>
      <c r="AH37" s="671"/>
    </row>
    <row r="38" spans="1:34" ht="17.100000000000001" customHeight="1" x14ac:dyDescent="0.25">
      <c r="A38" s="968" t="s">
        <v>1247</v>
      </c>
      <c r="B38" s="968"/>
      <c r="C38" s="969">
        <v>8328.0147500000003</v>
      </c>
      <c r="D38" s="969">
        <v>7826.8585000000003</v>
      </c>
      <c r="E38" s="969">
        <v>8685.0460000000003</v>
      </c>
      <c r="F38" s="969">
        <v>8796.1115000000009</v>
      </c>
      <c r="G38" s="969">
        <v>8352.3245000000006</v>
      </c>
      <c r="H38" s="969"/>
      <c r="AB38" s="671"/>
      <c r="AC38" s="671"/>
      <c r="AD38" s="671"/>
      <c r="AE38" s="671"/>
      <c r="AF38" s="671"/>
      <c r="AG38" s="671"/>
      <c r="AH38" s="671"/>
    </row>
    <row r="39" spans="1:34" ht="17.100000000000001" customHeight="1" x14ac:dyDescent="0.25">
      <c r="A39" s="900" t="s">
        <v>391</v>
      </c>
      <c r="B39" s="900"/>
      <c r="C39" s="1361">
        <v>33472</v>
      </c>
      <c r="D39" s="1361">
        <v>35862.198750000003</v>
      </c>
      <c r="E39" s="1361">
        <v>33862.607000000004</v>
      </c>
      <c r="F39" s="1361">
        <v>37293.3485</v>
      </c>
      <c r="G39" s="1361">
        <v>34721.3295</v>
      </c>
      <c r="H39" s="969"/>
      <c r="AB39" s="671"/>
      <c r="AC39" s="671"/>
      <c r="AD39" s="671"/>
      <c r="AE39" s="671"/>
      <c r="AF39" s="671"/>
      <c r="AG39" s="671"/>
      <c r="AH39" s="671"/>
    </row>
    <row r="40" spans="1:34" ht="17.100000000000001" customHeight="1" x14ac:dyDescent="0.25">
      <c r="A40" s="968" t="s">
        <v>392</v>
      </c>
      <c r="B40" s="968"/>
      <c r="C40" s="969">
        <v>4070.68975</v>
      </c>
      <c r="D40" s="969">
        <v>5815.9852499999997</v>
      </c>
      <c r="E40" s="969">
        <v>5289.9040000000005</v>
      </c>
      <c r="F40" s="969">
        <v>5462.6992499999997</v>
      </c>
      <c r="G40" s="969">
        <v>4097.8247499999998</v>
      </c>
      <c r="H40" s="969">
        <f>+G40-C40</f>
        <v>27.134999999999764</v>
      </c>
      <c r="AB40" s="671"/>
      <c r="AC40" s="671"/>
      <c r="AD40" s="671"/>
      <c r="AE40" s="671"/>
      <c r="AF40" s="671"/>
      <c r="AG40" s="671"/>
      <c r="AH40" s="671"/>
    </row>
    <row r="41" spans="1:34" ht="17.100000000000001" customHeight="1" x14ac:dyDescent="0.25">
      <c r="A41" s="968" t="s">
        <v>393</v>
      </c>
      <c r="B41" s="968"/>
      <c r="C41" s="969">
        <v>29071</v>
      </c>
      <c r="D41" s="969">
        <v>29474.328000000001</v>
      </c>
      <c r="E41" s="969">
        <v>28247.4725</v>
      </c>
      <c r="F41" s="969">
        <v>27951.08425</v>
      </c>
      <c r="G41" s="969">
        <v>29731.186750000001</v>
      </c>
      <c r="H41" s="969">
        <f>+G41-C41</f>
        <v>660.18675000000076</v>
      </c>
      <c r="AB41" s="671"/>
      <c r="AC41" s="671"/>
      <c r="AD41" s="671"/>
      <c r="AE41" s="671"/>
      <c r="AF41" s="671"/>
      <c r="AG41" s="671"/>
      <c r="AH41" s="671"/>
    </row>
    <row r="42" spans="1:34" ht="17.100000000000001" customHeight="1" x14ac:dyDescent="0.25">
      <c r="A42" s="968" t="s">
        <v>1248</v>
      </c>
      <c r="B42" s="968"/>
      <c r="C42" s="969">
        <v>115.65050000000002</v>
      </c>
      <c r="D42" s="969">
        <v>301.88549999999998</v>
      </c>
      <c r="E42" s="969">
        <v>204.23050000000001</v>
      </c>
      <c r="F42" s="969">
        <v>2402.5650000000001</v>
      </c>
      <c r="G42" s="969">
        <v>272</v>
      </c>
      <c r="H42" s="969"/>
      <c r="AB42" s="671"/>
      <c r="AC42" s="671"/>
      <c r="AD42" s="671"/>
      <c r="AE42" s="671"/>
      <c r="AF42" s="671"/>
      <c r="AG42" s="671"/>
      <c r="AH42" s="671"/>
    </row>
    <row r="43" spans="1:34" ht="17.100000000000001" customHeight="1" x14ac:dyDescent="0.25">
      <c r="A43" s="968" t="s">
        <v>394</v>
      </c>
      <c r="B43" s="968"/>
      <c r="C43" s="969">
        <v>214.44024999999999</v>
      </c>
      <c r="D43" s="969">
        <v>269.83300000000003</v>
      </c>
      <c r="E43" s="969">
        <v>121.01224999999999</v>
      </c>
      <c r="F43" s="969">
        <v>1476.5045</v>
      </c>
      <c r="G43" s="969">
        <v>620.31799999999998</v>
      </c>
      <c r="H43" s="969"/>
      <c r="AB43" s="671"/>
      <c r="AC43" s="671"/>
      <c r="AD43" s="671"/>
      <c r="AE43" s="671"/>
      <c r="AF43" s="671"/>
      <c r="AG43" s="671"/>
      <c r="AH43" s="671"/>
    </row>
    <row r="44" spans="1:34" ht="17.100000000000001" customHeight="1" x14ac:dyDescent="0.25">
      <c r="A44" s="966" t="s">
        <v>395</v>
      </c>
      <c r="B44" s="1340"/>
      <c r="C44" s="1341">
        <v>49396</v>
      </c>
      <c r="D44" s="1341">
        <v>51643</v>
      </c>
      <c r="E44" s="1341">
        <v>50922.361749999996</v>
      </c>
      <c r="F44" s="1341">
        <v>54886.780749999998</v>
      </c>
      <c r="G44" s="1341">
        <v>51936</v>
      </c>
      <c r="H44" s="1341"/>
      <c r="AB44" s="671"/>
      <c r="AC44" s="671"/>
      <c r="AD44" s="671"/>
      <c r="AE44" s="671"/>
      <c r="AF44" s="671"/>
      <c r="AG44" s="671"/>
      <c r="AH44" s="671"/>
    </row>
    <row r="45" spans="1:34" ht="17.100000000000001" customHeight="1" x14ac:dyDescent="0.25">
      <c r="A45" s="900" t="s">
        <v>396</v>
      </c>
      <c r="B45" s="900"/>
      <c r="C45" s="1361">
        <v>16515</v>
      </c>
      <c r="D45" s="1361">
        <v>16652.418249999999</v>
      </c>
      <c r="E45" s="1361">
        <v>17691.4215</v>
      </c>
      <c r="F45" s="1361">
        <v>18263.078249999999</v>
      </c>
      <c r="G45" s="1361">
        <v>18675.5255</v>
      </c>
      <c r="H45" s="969"/>
      <c r="AB45" s="671"/>
      <c r="AC45" s="671"/>
      <c r="AD45" s="671"/>
      <c r="AE45" s="671"/>
      <c r="AF45" s="671"/>
      <c r="AG45" s="671"/>
      <c r="AH45" s="671"/>
    </row>
    <row r="46" spans="1:34" ht="17.100000000000001" customHeight="1" x14ac:dyDescent="0.25">
      <c r="A46" s="968" t="s">
        <v>397</v>
      </c>
      <c r="B46" s="968"/>
      <c r="C46" s="969">
        <v>886.18349999999998</v>
      </c>
      <c r="D46" s="969">
        <v>886.18349999999998</v>
      </c>
      <c r="E46" s="969">
        <v>886.18349999999998</v>
      </c>
      <c r="F46" s="969">
        <v>886.18349999999998</v>
      </c>
      <c r="G46" s="969">
        <v>886.18349999999998</v>
      </c>
      <c r="H46" s="969"/>
      <c r="AB46" s="671"/>
      <c r="AC46" s="671"/>
      <c r="AD46" s="671"/>
      <c r="AE46" s="671"/>
      <c r="AF46" s="671"/>
      <c r="AG46" s="671"/>
      <c r="AH46" s="671"/>
    </row>
    <row r="47" spans="1:34" ht="17.100000000000001" customHeight="1" x14ac:dyDescent="0.25">
      <c r="A47" s="968" t="s">
        <v>398</v>
      </c>
      <c r="B47" s="968"/>
      <c r="C47" s="969">
        <v>15629</v>
      </c>
      <c r="D47" s="969">
        <v>15766.23475</v>
      </c>
      <c r="E47" s="969">
        <v>16805.238000000001</v>
      </c>
      <c r="F47" s="969">
        <v>17376.894749999999</v>
      </c>
      <c r="G47" s="969">
        <v>17789.342000000001</v>
      </c>
      <c r="H47" s="969"/>
      <c r="AB47" s="671"/>
      <c r="AC47" s="671"/>
      <c r="AD47" s="671"/>
      <c r="AE47" s="671"/>
      <c r="AF47" s="671"/>
      <c r="AG47" s="671"/>
      <c r="AH47" s="671"/>
    </row>
    <row r="48" spans="1:34" ht="17.100000000000001" customHeight="1" x14ac:dyDescent="0.25">
      <c r="A48" s="900" t="s">
        <v>399</v>
      </c>
      <c r="B48" s="900"/>
      <c r="C48" s="1361">
        <v>2575</v>
      </c>
      <c r="D48" s="1361">
        <v>3533</v>
      </c>
      <c r="E48" s="1361">
        <v>3125.0155</v>
      </c>
      <c r="F48" s="1361">
        <v>6855.0415000000003</v>
      </c>
      <c r="G48" s="1361">
        <v>6303.6180000000004</v>
      </c>
      <c r="H48" s="969"/>
      <c r="AB48" s="671"/>
      <c r="AC48" s="671"/>
      <c r="AD48" s="671"/>
      <c r="AE48" s="671"/>
      <c r="AF48" s="671"/>
      <c r="AG48" s="671"/>
      <c r="AH48" s="671"/>
    </row>
    <row r="49" spans="1:34" ht="17.100000000000001" customHeight="1" x14ac:dyDescent="0.25">
      <c r="A49" s="968" t="s">
        <v>1249</v>
      </c>
      <c r="B49" s="968"/>
      <c r="C49" s="969">
        <v>2428</v>
      </c>
      <c r="D49" s="969">
        <v>3356</v>
      </c>
      <c r="E49" s="969">
        <v>3032.1357499999999</v>
      </c>
      <c r="F49" s="969">
        <v>6745.0159999999996</v>
      </c>
      <c r="G49" s="969">
        <v>6162.4809999999998</v>
      </c>
      <c r="H49" s="969">
        <f>+G49-C49</f>
        <v>3734.4809999999998</v>
      </c>
      <c r="AB49" s="671"/>
      <c r="AC49" s="671"/>
      <c r="AD49" s="671"/>
      <c r="AE49" s="671"/>
      <c r="AF49" s="671"/>
      <c r="AG49" s="671"/>
      <c r="AH49" s="671"/>
    </row>
    <row r="50" spans="1:34" ht="17.100000000000001" customHeight="1" x14ac:dyDescent="0.25">
      <c r="A50" s="968" t="s">
        <v>1250</v>
      </c>
      <c r="B50" s="968"/>
      <c r="C50" s="969">
        <v>146.774</v>
      </c>
      <c r="D50" s="969">
        <v>177.41925000000001</v>
      </c>
      <c r="E50" s="969">
        <v>92.879750000000001</v>
      </c>
      <c r="F50" s="969">
        <v>110.02549999999999</v>
      </c>
      <c r="G50" s="969">
        <v>141.137</v>
      </c>
      <c r="H50" s="969"/>
      <c r="AB50" s="671"/>
      <c r="AC50" s="671"/>
      <c r="AD50" s="671"/>
      <c r="AE50" s="671"/>
      <c r="AF50" s="671"/>
      <c r="AG50" s="671"/>
      <c r="AH50" s="671"/>
    </row>
    <row r="51" spans="1:34" ht="17.100000000000001" customHeight="1" x14ac:dyDescent="0.25">
      <c r="A51" s="900" t="s">
        <v>1251</v>
      </c>
      <c r="B51" s="900"/>
      <c r="C51" s="1361">
        <v>30306</v>
      </c>
      <c r="D51" s="1361">
        <v>31456.73675</v>
      </c>
      <c r="E51" s="1361">
        <v>30105.924749999998</v>
      </c>
      <c r="F51" s="1361">
        <v>29768.661</v>
      </c>
      <c r="G51" s="1361">
        <v>26957</v>
      </c>
      <c r="H51" s="969"/>
      <c r="AB51" s="671"/>
      <c r="AC51" s="671"/>
      <c r="AD51" s="671"/>
      <c r="AE51" s="671"/>
      <c r="AF51" s="671"/>
      <c r="AG51" s="671"/>
      <c r="AH51" s="671"/>
    </row>
    <row r="52" spans="1:34" ht="17.100000000000001" customHeight="1" x14ac:dyDescent="0.25">
      <c r="A52" s="968" t="s">
        <v>867</v>
      </c>
      <c r="B52" s="968"/>
      <c r="C52" s="969">
        <v>6831</v>
      </c>
      <c r="D52" s="969">
        <v>5970.8334999999997</v>
      </c>
      <c r="E52" s="969">
        <v>6223.3022499999997</v>
      </c>
      <c r="F52" s="969">
        <v>4687.9979999999996</v>
      </c>
      <c r="G52" s="969">
        <v>4602</v>
      </c>
      <c r="H52" s="969">
        <f>+G52-C52</f>
        <v>-2229</v>
      </c>
      <c r="AB52" s="671"/>
      <c r="AC52" s="671"/>
      <c r="AD52" s="671"/>
      <c r="AE52" s="671"/>
      <c r="AF52" s="671"/>
      <c r="AG52" s="671"/>
      <c r="AH52" s="671"/>
    </row>
    <row r="53" spans="1:34" ht="17.100000000000001" customHeight="1" x14ac:dyDescent="0.25">
      <c r="A53" s="968" t="s">
        <v>402</v>
      </c>
      <c r="B53" s="968"/>
      <c r="C53" s="969">
        <v>20586.113000000001</v>
      </c>
      <c r="D53" s="969">
        <v>21727.474750000001</v>
      </c>
      <c r="E53" s="969">
        <v>21037.38825</v>
      </c>
      <c r="F53" s="969">
        <v>21956.828000000001</v>
      </c>
      <c r="G53" s="969">
        <v>18509.169750000001</v>
      </c>
      <c r="H53" s="969">
        <f>+G53-C53</f>
        <v>-2076.9432500000003</v>
      </c>
      <c r="AB53" s="671"/>
      <c r="AC53" s="671"/>
      <c r="AD53" s="671"/>
      <c r="AE53" s="671"/>
      <c r="AF53" s="671"/>
      <c r="AG53" s="671"/>
      <c r="AH53" s="671"/>
    </row>
    <row r="54" spans="1:34" ht="17.100000000000001" customHeight="1" x14ac:dyDescent="0.25">
      <c r="A54" s="968" t="s">
        <v>1252</v>
      </c>
      <c r="B54" s="968"/>
      <c r="C54" s="969">
        <v>2888.9665</v>
      </c>
      <c r="D54" s="969">
        <v>3758.4285</v>
      </c>
      <c r="E54" s="969">
        <v>2845.23425</v>
      </c>
      <c r="F54" s="969">
        <v>3123.835</v>
      </c>
      <c r="G54" s="969">
        <v>3845.2345</v>
      </c>
      <c r="H54" s="969"/>
      <c r="AB54" s="671"/>
      <c r="AC54" s="671"/>
      <c r="AD54" s="671"/>
      <c r="AE54" s="671"/>
      <c r="AF54" s="671"/>
      <c r="AG54" s="671"/>
      <c r="AH54" s="671"/>
    </row>
    <row r="55" spans="1:34" ht="17.100000000000001" customHeight="1" x14ac:dyDescent="0.25">
      <c r="A55" s="1343" t="s">
        <v>403</v>
      </c>
      <c r="B55" s="1343"/>
      <c r="C55" s="967">
        <v>49396</v>
      </c>
      <c r="D55" s="967">
        <v>51643</v>
      </c>
      <c r="E55" s="967">
        <v>50922.361749999996</v>
      </c>
      <c r="F55" s="967">
        <v>54886.780749999998</v>
      </c>
      <c r="G55" s="967">
        <v>51936</v>
      </c>
      <c r="H55" s="967"/>
      <c r="AB55" s="671"/>
      <c r="AC55" s="671"/>
      <c r="AD55" s="671"/>
      <c r="AE55" s="671"/>
      <c r="AF55" s="671"/>
      <c r="AG55" s="671"/>
      <c r="AH55" s="671"/>
    </row>
    <row r="56" spans="1:34" ht="17.100000000000001" customHeight="1" x14ac:dyDescent="0.25">
      <c r="A56" s="900"/>
      <c r="B56" s="900"/>
      <c r="C56" s="969"/>
      <c r="D56" s="969"/>
      <c r="E56" s="969"/>
      <c r="F56" s="969"/>
      <c r="G56" s="969"/>
      <c r="H56" s="969"/>
      <c r="L56" s="1352"/>
    </row>
    <row r="57" spans="1:34" ht="17.100000000000001" customHeight="1" x14ac:dyDescent="0.25">
      <c r="A57" s="671"/>
      <c r="B57" s="671"/>
      <c r="C57" s="671"/>
      <c r="D57" s="671"/>
      <c r="E57" s="671"/>
      <c r="F57" s="671"/>
      <c r="G57" s="671"/>
      <c r="H57" s="671"/>
    </row>
    <row r="58" spans="1:34" ht="36" customHeight="1" x14ac:dyDescent="0.25">
      <c r="A58" s="1353" t="s">
        <v>366</v>
      </c>
      <c r="B58" s="974"/>
      <c r="C58" s="1362">
        <v>39813</v>
      </c>
      <c r="D58" s="1362">
        <v>40178</v>
      </c>
      <c r="E58" s="1362">
        <v>40543</v>
      </c>
      <c r="F58" s="1362">
        <v>40908</v>
      </c>
      <c r="G58" s="1362">
        <v>41274</v>
      </c>
      <c r="H58" s="965"/>
    </row>
    <row r="59" spans="1:34" ht="17.100000000000001" customHeight="1" x14ac:dyDescent="0.25">
      <c r="A59" s="671"/>
      <c r="B59" s="671"/>
      <c r="C59" s="973" t="s">
        <v>862</v>
      </c>
      <c r="D59" s="973" t="s">
        <v>862</v>
      </c>
      <c r="E59" s="973" t="s">
        <v>862</v>
      </c>
      <c r="F59" s="973" t="s">
        <v>862</v>
      </c>
      <c r="G59" s="973" t="s">
        <v>862</v>
      </c>
      <c r="H59" s="973"/>
    </row>
    <row r="60" spans="1:34" ht="17.100000000000001" customHeight="1" x14ac:dyDescent="0.25">
      <c r="A60" s="900" t="s">
        <v>130</v>
      </c>
      <c r="B60" s="900"/>
      <c r="C60" s="969">
        <v>161304</v>
      </c>
      <c r="D60" s="969">
        <v>165898.25899999999</v>
      </c>
      <c r="E60" s="969">
        <v>169077.54199999999</v>
      </c>
      <c r="F60" s="969">
        <v>169237.41750000001</v>
      </c>
      <c r="G60" s="969">
        <v>161472.60699999999</v>
      </c>
      <c r="H60" s="969"/>
    </row>
    <row r="61" spans="1:34" ht="17.100000000000001" customHeight="1" x14ac:dyDescent="0.25">
      <c r="A61" s="900" t="s">
        <v>1254</v>
      </c>
      <c r="B61" s="900"/>
      <c r="C61" s="969">
        <v>144664.87375</v>
      </c>
      <c r="D61" s="969">
        <v>149060.32199999999</v>
      </c>
      <c r="E61" s="969">
        <v>152298.788</v>
      </c>
      <c r="F61" s="969">
        <v>152669.12700000001</v>
      </c>
      <c r="G61" s="969">
        <v>144932.31325000001</v>
      </c>
      <c r="H61" s="969"/>
    </row>
    <row r="62" spans="1:34" ht="17.100000000000001" customHeight="1" x14ac:dyDescent="0.25">
      <c r="A62" s="966" t="s">
        <v>342</v>
      </c>
      <c r="B62" s="966"/>
      <c r="C62" s="967">
        <v>16639.126250000001</v>
      </c>
      <c r="D62" s="967">
        <v>16837.937000000002</v>
      </c>
      <c r="E62" s="967">
        <v>16778.754000000001</v>
      </c>
      <c r="F62" s="967">
        <v>16568.290499999999</v>
      </c>
      <c r="G62" s="967">
        <v>16540.293750000001</v>
      </c>
      <c r="H62" s="967"/>
    </row>
    <row r="63" spans="1:34" ht="17.100000000000001" customHeight="1" x14ac:dyDescent="0.25">
      <c r="A63" s="900" t="s">
        <v>407</v>
      </c>
      <c r="B63" s="900"/>
      <c r="C63" s="969">
        <v>6397.5540000000001</v>
      </c>
      <c r="D63" s="969">
        <v>6266.6535000000003</v>
      </c>
      <c r="E63" s="969">
        <v>6069.1970000000001</v>
      </c>
      <c r="F63" s="969">
        <v>6413.3737499999997</v>
      </c>
      <c r="G63" s="969">
        <v>6273.2487499999997</v>
      </c>
      <c r="H63" s="969"/>
    </row>
    <row r="64" spans="1:34" ht="17.100000000000001" customHeight="1" x14ac:dyDescent="0.25">
      <c r="A64" s="900" t="s">
        <v>408</v>
      </c>
      <c r="B64" s="900"/>
      <c r="C64" s="969">
        <v>6013.1</v>
      </c>
      <c r="D64" s="969">
        <v>6374.1970000000001</v>
      </c>
      <c r="E64" s="969">
        <v>7981.4442499999996</v>
      </c>
      <c r="F64" s="969">
        <v>7144.0865000000003</v>
      </c>
      <c r="G64" s="969">
        <v>6823.2252500000004</v>
      </c>
      <c r="H64" s="969"/>
    </row>
    <row r="65" spans="1:9" ht="17.100000000000001" customHeight="1" x14ac:dyDescent="0.25">
      <c r="A65" s="900" t="s">
        <v>774</v>
      </c>
      <c r="B65" s="900"/>
      <c r="C65" s="969">
        <v>782.50525000000005</v>
      </c>
      <c r="D65" s="969">
        <v>813.88599999999997</v>
      </c>
      <c r="E65" s="969">
        <v>779.00699999999995</v>
      </c>
      <c r="F65" s="969">
        <v>772.09325000000001</v>
      </c>
      <c r="G65" s="969">
        <v>716.24374999999998</v>
      </c>
      <c r="H65" s="969">
        <f>SUM(D65:G65)</f>
        <v>3081.23</v>
      </c>
      <c r="I65" s="1354">
        <f>+G65/G9</f>
        <v>8.6679367649585989E-2</v>
      </c>
    </row>
    <row r="66" spans="1:9" ht="17.100000000000001" customHeight="1" x14ac:dyDescent="0.25">
      <c r="A66" s="966" t="s">
        <v>62</v>
      </c>
      <c r="B66" s="966"/>
      <c r="C66" s="967">
        <v>3445.9670000000001</v>
      </c>
      <c r="D66" s="967">
        <v>3383.2004999999999</v>
      </c>
      <c r="E66" s="967">
        <v>1949.1057499999999</v>
      </c>
      <c r="F66" s="967">
        <v>2238.7370000000001</v>
      </c>
      <c r="G66" s="967">
        <v>2727.576</v>
      </c>
      <c r="H66" s="967"/>
    </row>
    <row r="67" spans="1:9" ht="17.100000000000001" customHeight="1" x14ac:dyDescent="0.25">
      <c r="A67" s="900" t="s">
        <v>410</v>
      </c>
      <c r="B67" s="900"/>
      <c r="C67" s="969">
        <v>489.53924999999998</v>
      </c>
      <c r="D67" s="969">
        <v>175.9555</v>
      </c>
      <c r="E67" s="969">
        <v>904.98299999999995</v>
      </c>
      <c r="F67" s="969">
        <v>548.60699999999997</v>
      </c>
      <c r="G67" s="969">
        <v>572.96100000000001</v>
      </c>
      <c r="H67" s="969"/>
    </row>
    <row r="68" spans="1:9" ht="17.100000000000001" customHeight="1" x14ac:dyDescent="0.25">
      <c r="A68" s="900" t="s">
        <v>411</v>
      </c>
      <c r="B68" s="900"/>
      <c r="C68" s="969">
        <v>1501.37</v>
      </c>
      <c r="D68" s="969">
        <v>1206.9902500000001</v>
      </c>
      <c r="E68" s="969">
        <v>1201.5762500000001</v>
      </c>
      <c r="F68" s="969">
        <v>1215.1057499999999</v>
      </c>
      <c r="G68" s="969">
        <v>1212.3375000000001</v>
      </c>
      <c r="H68" s="969"/>
    </row>
    <row r="69" spans="1:9" ht="17.100000000000001" customHeight="1" x14ac:dyDescent="0.25">
      <c r="A69" s="900" t="s">
        <v>412</v>
      </c>
      <c r="B69" s="900"/>
      <c r="C69" s="969">
        <v>-1011.83075</v>
      </c>
      <c r="D69" s="969">
        <v>-1031.03475</v>
      </c>
      <c r="E69" s="969">
        <v>-296.59325000000001</v>
      </c>
      <c r="F69" s="969">
        <v>-666.49874999999997</v>
      </c>
      <c r="G69" s="969">
        <v>-639.37649999999996</v>
      </c>
      <c r="H69" s="969"/>
    </row>
    <row r="70" spans="1:9" ht="17.100000000000001" customHeight="1" x14ac:dyDescent="0.25">
      <c r="A70" s="900" t="s">
        <v>413</v>
      </c>
      <c r="B70" s="900"/>
      <c r="C70" s="969">
        <v>2434.13625</v>
      </c>
      <c r="D70" s="969">
        <v>2352.1657500000001</v>
      </c>
      <c r="E70" s="969">
        <v>1652.5125</v>
      </c>
      <c r="F70" s="969">
        <v>1572.2382500000001</v>
      </c>
      <c r="G70" s="969">
        <v>2088.1995000000002</v>
      </c>
      <c r="H70" s="969"/>
    </row>
    <row r="71" spans="1:9" ht="17.100000000000001" customHeight="1" x14ac:dyDescent="0.25">
      <c r="A71" s="900" t="s">
        <v>414</v>
      </c>
      <c r="B71" s="900"/>
      <c r="C71" s="969">
        <v>698.90499999999997</v>
      </c>
      <c r="D71" s="969">
        <v>748.97749999999996</v>
      </c>
      <c r="E71" s="969">
        <v>497.42899999999997</v>
      </c>
      <c r="F71" s="969">
        <v>589.22749999999996</v>
      </c>
      <c r="G71" s="969">
        <v>689.83825000000002</v>
      </c>
      <c r="H71" s="969"/>
    </row>
    <row r="72" spans="1:9" ht="17.100000000000001" customHeight="1" x14ac:dyDescent="0.25">
      <c r="A72" s="966" t="s">
        <v>1255</v>
      </c>
      <c r="B72" s="966"/>
      <c r="C72" s="967">
        <v>1735.23125</v>
      </c>
      <c r="D72" s="967">
        <v>1603.1882499999999</v>
      </c>
      <c r="E72" s="967">
        <v>1155.0835</v>
      </c>
      <c r="F72" s="967">
        <v>983.01075000000003</v>
      </c>
      <c r="G72" s="967">
        <v>1398.3612499999999</v>
      </c>
      <c r="H72" s="967"/>
    </row>
    <row r="73" spans="1:9" ht="17.100000000000001" customHeight="1" thickBot="1" x14ac:dyDescent="0.3">
      <c r="A73" s="671"/>
      <c r="B73" s="671"/>
      <c r="C73" s="671"/>
      <c r="D73" s="671"/>
      <c r="E73" s="671"/>
      <c r="F73" s="671"/>
      <c r="G73" s="671"/>
      <c r="H73" s="671"/>
    </row>
    <row r="74" spans="1:9" x14ac:dyDescent="0.25">
      <c r="A74" s="1432" t="s">
        <v>1269</v>
      </c>
      <c r="B74" s="1355"/>
      <c r="C74" s="1355"/>
      <c r="D74" s="1355"/>
      <c r="E74" s="1355"/>
      <c r="F74" s="1355"/>
      <c r="G74" s="1356"/>
      <c r="H74" s="740"/>
    </row>
    <row r="75" spans="1:9" x14ac:dyDescent="0.25">
      <c r="A75" s="735" t="s">
        <v>1256</v>
      </c>
      <c r="B75" s="740" t="s">
        <v>1257</v>
      </c>
      <c r="C75" s="740" t="s">
        <v>1270</v>
      </c>
      <c r="D75" s="740"/>
      <c r="E75" s="740"/>
      <c r="F75" s="740"/>
      <c r="G75" s="1357">
        <f>+H65+H35</f>
        <v>4371.2299999999996</v>
      </c>
      <c r="H75" s="1358"/>
    </row>
    <row r="76" spans="1:9" x14ac:dyDescent="0.25">
      <c r="A76" s="735" t="s">
        <v>1258</v>
      </c>
      <c r="B76" s="740" t="s">
        <v>1257</v>
      </c>
      <c r="C76" s="740" t="s">
        <v>1271</v>
      </c>
      <c r="D76" s="740"/>
      <c r="E76" s="740"/>
      <c r="F76" s="740"/>
      <c r="G76" s="1357">
        <f>+H40+H41</f>
        <v>687.32175000000052</v>
      </c>
      <c r="H76" s="1358"/>
    </row>
    <row r="77" spans="1:9" x14ac:dyDescent="0.25">
      <c r="A77" s="735" t="s">
        <v>1259</v>
      </c>
      <c r="B77" s="740" t="s">
        <v>1257</v>
      </c>
      <c r="C77" s="740"/>
      <c r="D77" s="740"/>
      <c r="E77" s="740"/>
      <c r="F77" s="740"/>
      <c r="G77" s="1357">
        <f>+H49+H52</f>
        <v>1505.4809999999998</v>
      </c>
      <c r="H77" s="1358"/>
    </row>
    <row r="78" spans="1:9" x14ac:dyDescent="0.25">
      <c r="A78" s="1433" t="s">
        <v>1272</v>
      </c>
      <c r="B78" s="740"/>
      <c r="C78" s="740"/>
      <c r="D78" s="740"/>
      <c r="E78" s="740"/>
      <c r="F78" s="740"/>
      <c r="G78" s="1342"/>
      <c r="H78" s="1339"/>
    </row>
    <row r="79" spans="1:9" x14ac:dyDescent="0.25">
      <c r="A79" s="735" t="s">
        <v>1256</v>
      </c>
      <c r="B79" s="740" t="s">
        <v>1260</v>
      </c>
      <c r="C79" s="740"/>
      <c r="D79" s="740"/>
      <c r="E79" s="740"/>
      <c r="F79" s="740"/>
      <c r="G79" s="1359">
        <f>+G75/4</f>
        <v>1092.8074999999999</v>
      </c>
      <c r="H79" s="1360"/>
    </row>
    <row r="80" spans="1:9" x14ac:dyDescent="0.25">
      <c r="A80" s="735" t="s">
        <v>1258</v>
      </c>
      <c r="B80" s="740" t="s">
        <v>1260</v>
      </c>
      <c r="C80" s="740"/>
      <c r="D80" s="740"/>
      <c r="E80" s="740"/>
      <c r="F80" s="740"/>
      <c r="G80" s="1359">
        <f>+G76/4</f>
        <v>171.83043750000013</v>
      </c>
      <c r="H80" s="1360"/>
    </row>
    <row r="81" spans="1:8" x14ac:dyDescent="0.25">
      <c r="A81" s="735" t="s">
        <v>1259</v>
      </c>
      <c r="B81" s="740" t="s">
        <v>1260</v>
      </c>
      <c r="C81" s="740"/>
      <c r="D81" s="740"/>
      <c r="E81" s="740"/>
      <c r="F81" s="740"/>
      <c r="G81" s="1359">
        <f>+G77/4</f>
        <v>376.37024999999994</v>
      </c>
      <c r="H81" s="1360"/>
    </row>
    <row r="82" spans="1:8" ht="16.5" thickBot="1" x14ac:dyDescent="0.3">
      <c r="A82" s="1348"/>
      <c r="B82" s="1349"/>
      <c r="C82" s="1349"/>
      <c r="D82" s="1349"/>
      <c r="E82" s="1349"/>
      <c r="F82" s="1349"/>
      <c r="G82" s="1351"/>
      <c r="H82" s="74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9"/>
  <sheetViews>
    <sheetView showGridLines="0" workbookViewId="0">
      <selection activeCell="B3" sqref="B3"/>
    </sheetView>
  </sheetViews>
  <sheetFormatPr baseColWidth="10" defaultColWidth="11.42578125" defaultRowHeight="15" x14ac:dyDescent="0.25"/>
  <cols>
    <col min="1" max="1" width="3.85546875" style="180" customWidth="1"/>
    <col min="2" max="2" width="55.85546875" style="188" customWidth="1"/>
    <col min="3" max="3" width="21.28515625" style="179" customWidth="1"/>
    <col min="4" max="4" width="16" style="179" customWidth="1"/>
    <col min="5" max="5" width="17" style="179" customWidth="1"/>
    <col min="6" max="6" width="11.42578125" style="179"/>
    <col min="7" max="7" width="11.5703125" style="179" bestFit="1" customWidth="1"/>
    <col min="8" max="255" width="11.42578125" style="180"/>
    <col min="256" max="256" width="3.85546875" style="180" customWidth="1"/>
    <col min="257" max="257" width="71.42578125" style="180" customWidth="1"/>
    <col min="258" max="258" width="10.85546875" style="180" bestFit="1" customWidth="1"/>
    <col min="259" max="259" width="11.42578125" style="180" customWidth="1"/>
    <col min="260" max="261" width="11.5703125" style="180" bestFit="1" customWidth="1"/>
    <col min="262" max="262" width="11.42578125" style="180"/>
    <col min="263" max="263" width="11.5703125" style="180" bestFit="1" customWidth="1"/>
    <col min="264" max="511" width="11.42578125" style="180"/>
    <col min="512" max="512" width="3.85546875" style="180" customWidth="1"/>
    <col min="513" max="513" width="71.42578125" style="180" customWidth="1"/>
    <col min="514" max="514" width="10.85546875" style="180" bestFit="1" customWidth="1"/>
    <col min="515" max="515" width="11.42578125" style="180" customWidth="1"/>
    <col min="516" max="517" width="11.5703125" style="180" bestFit="1" customWidth="1"/>
    <col min="518" max="518" width="11.42578125" style="180"/>
    <col min="519" max="519" width="11.5703125" style="180" bestFit="1" customWidth="1"/>
    <col min="520" max="767" width="11.42578125" style="180"/>
    <col min="768" max="768" width="3.85546875" style="180" customWidth="1"/>
    <col min="769" max="769" width="71.42578125" style="180" customWidth="1"/>
    <col min="770" max="770" width="10.85546875" style="180" bestFit="1" customWidth="1"/>
    <col min="771" max="771" width="11.42578125" style="180" customWidth="1"/>
    <col min="772" max="773" width="11.5703125" style="180" bestFit="1" customWidth="1"/>
    <col min="774" max="774" width="11.42578125" style="180"/>
    <col min="775" max="775" width="11.5703125" style="180" bestFit="1" customWidth="1"/>
    <col min="776" max="1023" width="11.42578125" style="180"/>
    <col min="1024" max="1024" width="3.85546875" style="180" customWidth="1"/>
    <col min="1025" max="1025" width="71.42578125" style="180" customWidth="1"/>
    <col min="1026" max="1026" width="10.85546875" style="180" bestFit="1" customWidth="1"/>
    <col min="1027" max="1027" width="11.42578125" style="180" customWidth="1"/>
    <col min="1028" max="1029" width="11.5703125" style="180" bestFit="1" customWidth="1"/>
    <col min="1030" max="1030" width="11.42578125" style="180"/>
    <col min="1031" max="1031" width="11.5703125" style="180" bestFit="1" customWidth="1"/>
    <col min="1032" max="1279" width="11.42578125" style="180"/>
    <col min="1280" max="1280" width="3.85546875" style="180" customWidth="1"/>
    <col min="1281" max="1281" width="71.42578125" style="180" customWidth="1"/>
    <col min="1282" max="1282" width="10.85546875" style="180" bestFit="1" customWidth="1"/>
    <col min="1283" max="1283" width="11.42578125" style="180" customWidth="1"/>
    <col min="1284" max="1285" width="11.5703125" style="180" bestFit="1" customWidth="1"/>
    <col min="1286" max="1286" width="11.42578125" style="180"/>
    <col min="1287" max="1287" width="11.5703125" style="180" bestFit="1" customWidth="1"/>
    <col min="1288" max="1535" width="11.42578125" style="180"/>
    <col min="1536" max="1536" width="3.85546875" style="180" customWidth="1"/>
    <col min="1537" max="1537" width="71.42578125" style="180" customWidth="1"/>
    <col min="1538" max="1538" width="10.85546875" style="180" bestFit="1" customWidth="1"/>
    <col min="1539" max="1539" width="11.42578125" style="180" customWidth="1"/>
    <col min="1540" max="1541" width="11.5703125" style="180" bestFit="1" customWidth="1"/>
    <col min="1542" max="1542" width="11.42578125" style="180"/>
    <col min="1543" max="1543" width="11.5703125" style="180" bestFit="1" customWidth="1"/>
    <col min="1544" max="1791" width="11.42578125" style="180"/>
    <col min="1792" max="1792" width="3.85546875" style="180" customWidth="1"/>
    <col min="1793" max="1793" width="71.42578125" style="180" customWidth="1"/>
    <col min="1794" max="1794" width="10.85546875" style="180" bestFit="1" customWidth="1"/>
    <col min="1795" max="1795" width="11.42578125" style="180" customWidth="1"/>
    <col min="1796" max="1797" width="11.5703125" style="180" bestFit="1" customWidth="1"/>
    <col min="1798" max="1798" width="11.42578125" style="180"/>
    <col min="1799" max="1799" width="11.5703125" style="180" bestFit="1" customWidth="1"/>
    <col min="1800" max="2047" width="11.42578125" style="180"/>
    <col min="2048" max="2048" width="3.85546875" style="180" customWidth="1"/>
    <col min="2049" max="2049" width="71.42578125" style="180" customWidth="1"/>
    <col min="2050" max="2050" width="10.85546875" style="180" bestFit="1" customWidth="1"/>
    <col min="2051" max="2051" width="11.42578125" style="180" customWidth="1"/>
    <col min="2052" max="2053" width="11.5703125" style="180" bestFit="1" customWidth="1"/>
    <col min="2054" max="2054" width="11.42578125" style="180"/>
    <col min="2055" max="2055" width="11.5703125" style="180" bestFit="1" customWidth="1"/>
    <col min="2056" max="2303" width="11.42578125" style="180"/>
    <col min="2304" max="2304" width="3.85546875" style="180" customWidth="1"/>
    <col min="2305" max="2305" width="71.42578125" style="180" customWidth="1"/>
    <col min="2306" max="2306" width="10.85546875" style="180" bestFit="1" customWidth="1"/>
    <col min="2307" max="2307" width="11.42578125" style="180" customWidth="1"/>
    <col min="2308" max="2309" width="11.5703125" style="180" bestFit="1" customWidth="1"/>
    <col min="2310" max="2310" width="11.42578125" style="180"/>
    <col min="2311" max="2311" width="11.5703125" style="180" bestFit="1" customWidth="1"/>
    <col min="2312" max="2559" width="11.42578125" style="180"/>
    <col min="2560" max="2560" width="3.85546875" style="180" customWidth="1"/>
    <col min="2561" max="2561" width="71.42578125" style="180" customWidth="1"/>
    <col min="2562" max="2562" width="10.85546875" style="180" bestFit="1" customWidth="1"/>
    <col min="2563" max="2563" width="11.42578125" style="180" customWidth="1"/>
    <col min="2564" max="2565" width="11.5703125" style="180" bestFit="1" customWidth="1"/>
    <col min="2566" max="2566" width="11.42578125" style="180"/>
    <col min="2567" max="2567" width="11.5703125" style="180" bestFit="1" customWidth="1"/>
    <col min="2568" max="2815" width="11.42578125" style="180"/>
    <col min="2816" max="2816" width="3.85546875" style="180" customWidth="1"/>
    <col min="2817" max="2817" width="71.42578125" style="180" customWidth="1"/>
    <col min="2818" max="2818" width="10.85546875" style="180" bestFit="1" customWidth="1"/>
    <col min="2819" max="2819" width="11.42578125" style="180" customWidth="1"/>
    <col min="2820" max="2821" width="11.5703125" style="180" bestFit="1" customWidth="1"/>
    <col min="2822" max="2822" width="11.42578125" style="180"/>
    <col min="2823" max="2823" width="11.5703125" style="180" bestFit="1" customWidth="1"/>
    <col min="2824" max="3071" width="11.42578125" style="180"/>
    <col min="3072" max="3072" width="3.85546875" style="180" customWidth="1"/>
    <col min="3073" max="3073" width="71.42578125" style="180" customWidth="1"/>
    <col min="3074" max="3074" width="10.85546875" style="180" bestFit="1" customWidth="1"/>
    <col min="3075" max="3075" width="11.42578125" style="180" customWidth="1"/>
    <col min="3076" max="3077" width="11.5703125" style="180" bestFit="1" customWidth="1"/>
    <col min="3078" max="3078" width="11.42578125" style="180"/>
    <col min="3079" max="3079" width="11.5703125" style="180" bestFit="1" customWidth="1"/>
    <col min="3080" max="3327" width="11.42578125" style="180"/>
    <col min="3328" max="3328" width="3.85546875" style="180" customWidth="1"/>
    <col min="3329" max="3329" width="71.42578125" style="180" customWidth="1"/>
    <col min="3330" max="3330" width="10.85546875" style="180" bestFit="1" customWidth="1"/>
    <col min="3331" max="3331" width="11.42578125" style="180" customWidth="1"/>
    <col min="3332" max="3333" width="11.5703125" style="180" bestFit="1" customWidth="1"/>
    <col min="3334" max="3334" width="11.42578125" style="180"/>
    <col min="3335" max="3335" width="11.5703125" style="180" bestFit="1" customWidth="1"/>
    <col min="3336" max="3583" width="11.42578125" style="180"/>
    <col min="3584" max="3584" width="3.85546875" style="180" customWidth="1"/>
    <col min="3585" max="3585" width="71.42578125" style="180" customWidth="1"/>
    <col min="3586" max="3586" width="10.85546875" style="180" bestFit="1" customWidth="1"/>
    <col min="3587" max="3587" width="11.42578125" style="180" customWidth="1"/>
    <col min="3588" max="3589" width="11.5703125" style="180" bestFit="1" customWidth="1"/>
    <col min="3590" max="3590" width="11.42578125" style="180"/>
    <col min="3591" max="3591" width="11.5703125" style="180" bestFit="1" customWidth="1"/>
    <col min="3592" max="3839" width="11.42578125" style="180"/>
    <col min="3840" max="3840" width="3.85546875" style="180" customWidth="1"/>
    <col min="3841" max="3841" width="71.42578125" style="180" customWidth="1"/>
    <col min="3842" max="3842" width="10.85546875" style="180" bestFit="1" customWidth="1"/>
    <col min="3843" max="3843" width="11.42578125" style="180" customWidth="1"/>
    <col min="3844" max="3845" width="11.5703125" style="180" bestFit="1" customWidth="1"/>
    <col min="3846" max="3846" width="11.42578125" style="180"/>
    <col min="3847" max="3847" width="11.5703125" style="180" bestFit="1" customWidth="1"/>
    <col min="3848" max="4095" width="11.42578125" style="180"/>
    <col min="4096" max="4096" width="3.85546875" style="180" customWidth="1"/>
    <col min="4097" max="4097" width="71.42578125" style="180" customWidth="1"/>
    <col min="4098" max="4098" width="10.85546875" style="180" bestFit="1" customWidth="1"/>
    <col min="4099" max="4099" width="11.42578125" style="180" customWidth="1"/>
    <col min="4100" max="4101" width="11.5703125" style="180" bestFit="1" customWidth="1"/>
    <col min="4102" max="4102" width="11.42578125" style="180"/>
    <col min="4103" max="4103" width="11.5703125" style="180" bestFit="1" customWidth="1"/>
    <col min="4104" max="4351" width="11.42578125" style="180"/>
    <col min="4352" max="4352" width="3.85546875" style="180" customWidth="1"/>
    <col min="4353" max="4353" width="71.42578125" style="180" customWidth="1"/>
    <col min="4354" max="4354" width="10.85546875" style="180" bestFit="1" customWidth="1"/>
    <col min="4355" max="4355" width="11.42578125" style="180" customWidth="1"/>
    <col min="4356" max="4357" width="11.5703125" style="180" bestFit="1" customWidth="1"/>
    <col min="4358" max="4358" width="11.42578125" style="180"/>
    <col min="4359" max="4359" width="11.5703125" style="180" bestFit="1" customWidth="1"/>
    <col min="4360" max="4607" width="11.42578125" style="180"/>
    <col min="4608" max="4608" width="3.85546875" style="180" customWidth="1"/>
    <col min="4609" max="4609" width="71.42578125" style="180" customWidth="1"/>
    <col min="4610" max="4610" width="10.85546875" style="180" bestFit="1" customWidth="1"/>
    <col min="4611" max="4611" width="11.42578125" style="180" customWidth="1"/>
    <col min="4612" max="4613" width="11.5703125" style="180" bestFit="1" customWidth="1"/>
    <col min="4614" max="4614" width="11.42578125" style="180"/>
    <col min="4615" max="4615" width="11.5703125" style="180" bestFit="1" customWidth="1"/>
    <col min="4616" max="4863" width="11.42578125" style="180"/>
    <col min="4864" max="4864" width="3.85546875" style="180" customWidth="1"/>
    <col min="4865" max="4865" width="71.42578125" style="180" customWidth="1"/>
    <col min="4866" max="4866" width="10.85546875" style="180" bestFit="1" customWidth="1"/>
    <col min="4867" max="4867" width="11.42578125" style="180" customWidth="1"/>
    <col min="4868" max="4869" width="11.5703125" style="180" bestFit="1" customWidth="1"/>
    <col min="4870" max="4870" width="11.42578125" style="180"/>
    <col min="4871" max="4871" width="11.5703125" style="180" bestFit="1" customWidth="1"/>
    <col min="4872" max="5119" width="11.42578125" style="180"/>
    <col min="5120" max="5120" width="3.85546875" style="180" customWidth="1"/>
    <col min="5121" max="5121" width="71.42578125" style="180" customWidth="1"/>
    <col min="5122" max="5122" width="10.85546875" style="180" bestFit="1" customWidth="1"/>
    <col min="5123" max="5123" width="11.42578125" style="180" customWidth="1"/>
    <col min="5124" max="5125" width="11.5703125" style="180" bestFit="1" customWidth="1"/>
    <col min="5126" max="5126" width="11.42578125" style="180"/>
    <col min="5127" max="5127" width="11.5703125" style="180" bestFit="1" customWidth="1"/>
    <col min="5128" max="5375" width="11.42578125" style="180"/>
    <col min="5376" max="5376" width="3.85546875" style="180" customWidth="1"/>
    <col min="5377" max="5377" width="71.42578125" style="180" customWidth="1"/>
    <col min="5378" max="5378" width="10.85546875" style="180" bestFit="1" customWidth="1"/>
    <col min="5379" max="5379" width="11.42578125" style="180" customWidth="1"/>
    <col min="5380" max="5381" width="11.5703125" style="180" bestFit="1" customWidth="1"/>
    <col min="5382" max="5382" width="11.42578125" style="180"/>
    <col min="5383" max="5383" width="11.5703125" style="180" bestFit="1" customWidth="1"/>
    <col min="5384" max="5631" width="11.42578125" style="180"/>
    <col min="5632" max="5632" width="3.85546875" style="180" customWidth="1"/>
    <col min="5633" max="5633" width="71.42578125" style="180" customWidth="1"/>
    <col min="5634" max="5634" width="10.85546875" style="180" bestFit="1" customWidth="1"/>
    <col min="5635" max="5635" width="11.42578125" style="180" customWidth="1"/>
    <col min="5636" max="5637" width="11.5703125" style="180" bestFit="1" customWidth="1"/>
    <col min="5638" max="5638" width="11.42578125" style="180"/>
    <col min="5639" max="5639" width="11.5703125" style="180" bestFit="1" customWidth="1"/>
    <col min="5640" max="5887" width="11.42578125" style="180"/>
    <col min="5888" max="5888" width="3.85546875" style="180" customWidth="1"/>
    <col min="5889" max="5889" width="71.42578125" style="180" customWidth="1"/>
    <col min="5890" max="5890" width="10.85546875" style="180" bestFit="1" customWidth="1"/>
    <col min="5891" max="5891" width="11.42578125" style="180" customWidth="1"/>
    <col min="5892" max="5893" width="11.5703125" style="180" bestFit="1" customWidth="1"/>
    <col min="5894" max="5894" width="11.42578125" style="180"/>
    <col min="5895" max="5895" width="11.5703125" style="180" bestFit="1" customWidth="1"/>
    <col min="5896" max="6143" width="11.42578125" style="180"/>
    <col min="6144" max="6144" width="3.85546875" style="180" customWidth="1"/>
    <col min="6145" max="6145" width="71.42578125" style="180" customWidth="1"/>
    <col min="6146" max="6146" width="10.85546875" style="180" bestFit="1" customWidth="1"/>
    <col min="6147" max="6147" width="11.42578125" style="180" customWidth="1"/>
    <col min="6148" max="6149" width="11.5703125" style="180" bestFit="1" customWidth="1"/>
    <col min="6150" max="6150" width="11.42578125" style="180"/>
    <col min="6151" max="6151" width="11.5703125" style="180" bestFit="1" customWidth="1"/>
    <col min="6152" max="6399" width="11.42578125" style="180"/>
    <col min="6400" max="6400" width="3.85546875" style="180" customWidth="1"/>
    <col min="6401" max="6401" width="71.42578125" style="180" customWidth="1"/>
    <col min="6402" max="6402" width="10.85546875" style="180" bestFit="1" customWidth="1"/>
    <col min="6403" max="6403" width="11.42578125" style="180" customWidth="1"/>
    <col min="6404" max="6405" width="11.5703125" style="180" bestFit="1" customWidth="1"/>
    <col min="6406" max="6406" width="11.42578125" style="180"/>
    <col min="6407" max="6407" width="11.5703125" style="180" bestFit="1" customWidth="1"/>
    <col min="6408" max="6655" width="11.42578125" style="180"/>
    <col min="6656" max="6656" width="3.85546875" style="180" customWidth="1"/>
    <col min="6657" max="6657" width="71.42578125" style="180" customWidth="1"/>
    <col min="6658" max="6658" width="10.85546875" style="180" bestFit="1" customWidth="1"/>
    <col min="6659" max="6659" width="11.42578125" style="180" customWidth="1"/>
    <col min="6660" max="6661" width="11.5703125" style="180" bestFit="1" customWidth="1"/>
    <col min="6662" max="6662" width="11.42578125" style="180"/>
    <col min="6663" max="6663" width="11.5703125" style="180" bestFit="1" customWidth="1"/>
    <col min="6664" max="6911" width="11.42578125" style="180"/>
    <col min="6912" max="6912" width="3.85546875" style="180" customWidth="1"/>
    <col min="6913" max="6913" width="71.42578125" style="180" customWidth="1"/>
    <col min="6914" max="6914" width="10.85546875" style="180" bestFit="1" customWidth="1"/>
    <col min="6915" max="6915" width="11.42578125" style="180" customWidth="1"/>
    <col min="6916" max="6917" width="11.5703125" style="180" bestFit="1" customWidth="1"/>
    <col min="6918" max="6918" width="11.42578125" style="180"/>
    <col min="6919" max="6919" width="11.5703125" style="180" bestFit="1" customWidth="1"/>
    <col min="6920" max="7167" width="11.42578125" style="180"/>
    <col min="7168" max="7168" width="3.85546875" style="180" customWidth="1"/>
    <col min="7169" max="7169" width="71.42578125" style="180" customWidth="1"/>
    <col min="7170" max="7170" width="10.85546875" style="180" bestFit="1" customWidth="1"/>
    <col min="7171" max="7171" width="11.42578125" style="180" customWidth="1"/>
    <col min="7172" max="7173" width="11.5703125" style="180" bestFit="1" customWidth="1"/>
    <col min="7174" max="7174" width="11.42578125" style="180"/>
    <col min="7175" max="7175" width="11.5703125" style="180" bestFit="1" customWidth="1"/>
    <col min="7176" max="7423" width="11.42578125" style="180"/>
    <col min="7424" max="7424" width="3.85546875" style="180" customWidth="1"/>
    <col min="7425" max="7425" width="71.42578125" style="180" customWidth="1"/>
    <col min="7426" max="7426" width="10.85546875" style="180" bestFit="1" customWidth="1"/>
    <col min="7427" max="7427" width="11.42578125" style="180" customWidth="1"/>
    <col min="7428" max="7429" width="11.5703125" style="180" bestFit="1" customWidth="1"/>
    <col min="7430" max="7430" width="11.42578125" style="180"/>
    <col min="7431" max="7431" width="11.5703125" style="180" bestFit="1" customWidth="1"/>
    <col min="7432" max="7679" width="11.42578125" style="180"/>
    <col min="7680" max="7680" width="3.85546875" style="180" customWidth="1"/>
    <col min="7681" max="7681" width="71.42578125" style="180" customWidth="1"/>
    <col min="7682" max="7682" width="10.85546875" style="180" bestFit="1" customWidth="1"/>
    <col min="7683" max="7683" width="11.42578125" style="180" customWidth="1"/>
    <col min="7684" max="7685" width="11.5703125" style="180" bestFit="1" customWidth="1"/>
    <col min="7686" max="7686" width="11.42578125" style="180"/>
    <col min="7687" max="7687" width="11.5703125" style="180" bestFit="1" customWidth="1"/>
    <col min="7688" max="7935" width="11.42578125" style="180"/>
    <col min="7936" max="7936" width="3.85546875" style="180" customWidth="1"/>
    <col min="7937" max="7937" width="71.42578125" style="180" customWidth="1"/>
    <col min="7938" max="7938" width="10.85546875" style="180" bestFit="1" customWidth="1"/>
    <col min="7939" max="7939" width="11.42578125" style="180" customWidth="1"/>
    <col min="7940" max="7941" width="11.5703125" style="180" bestFit="1" customWidth="1"/>
    <col min="7942" max="7942" width="11.42578125" style="180"/>
    <col min="7943" max="7943" width="11.5703125" style="180" bestFit="1" customWidth="1"/>
    <col min="7944" max="8191" width="11.42578125" style="180"/>
    <col min="8192" max="8192" width="3.85546875" style="180" customWidth="1"/>
    <col min="8193" max="8193" width="71.42578125" style="180" customWidth="1"/>
    <col min="8194" max="8194" width="10.85546875" style="180" bestFit="1" customWidth="1"/>
    <col min="8195" max="8195" width="11.42578125" style="180" customWidth="1"/>
    <col min="8196" max="8197" width="11.5703125" style="180" bestFit="1" customWidth="1"/>
    <col min="8198" max="8198" width="11.42578125" style="180"/>
    <col min="8199" max="8199" width="11.5703125" style="180" bestFit="1" customWidth="1"/>
    <col min="8200" max="8447" width="11.42578125" style="180"/>
    <col min="8448" max="8448" width="3.85546875" style="180" customWidth="1"/>
    <col min="8449" max="8449" width="71.42578125" style="180" customWidth="1"/>
    <col min="8450" max="8450" width="10.85546875" style="180" bestFit="1" customWidth="1"/>
    <col min="8451" max="8451" width="11.42578125" style="180" customWidth="1"/>
    <col min="8452" max="8453" width="11.5703125" style="180" bestFit="1" customWidth="1"/>
    <col min="8454" max="8454" width="11.42578125" style="180"/>
    <col min="8455" max="8455" width="11.5703125" style="180" bestFit="1" customWidth="1"/>
    <col min="8456" max="8703" width="11.42578125" style="180"/>
    <col min="8704" max="8704" width="3.85546875" style="180" customWidth="1"/>
    <col min="8705" max="8705" width="71.42578125" style="180" customWidth="1"/>
    <col min="8706" max="8706" width="10.85546875" style="180" bestFit="1" customWidth="1"/>
    <col min="8707" max="8707" width="11.42578125" style="180" customWidth="1"/>
    <col min="8708" max="8709" width="11.5703125" style="180" bestFit="1" customWidth="1"/>
    <col min="8710" max="8710" width="11.42578125" style="180"/>
    <col min="8711" max="8711" width="11.5703125" style="180" bestFit="1" customWidth="1"/>
    <col min="8712" max="8959" width="11.42578125" style="180"/>
    <col min="8960" max="8960" width="3.85546875" style="180" customWidth="1"/>
    <col min="8961" max="8961" width="71.42578125" style="180" customWidth="1"/>
    <col min="8962" max="8962" width="10.85546875" style="180" bestFit="1" customWidth="1"/>
    <col min="8963" max="8963" width="11.42578125" style="180" customWidth="1"/>
    <col min="8964" max="8965" width="11.5703125" style="180" bestFit="1" customWidth="1"/>
    <col min="8966" max="8966" width="11.42578125" style="180"/>
    <col min="8967" max="8967" width="11.5703125" style="180" bestFit="1" customWidth="1"/>
    <col min="8968" max="9215" width="11.42578125" style="180"/>
    <col min="9216" max="9216" width="3.85546875" style="180" customWidth="1"/>
    <col min="9217" max="9217" width="71.42578125" style="180" customWidth="1"/>
    <col min="9218" max="9218" width="10.85546875" style="180" bestFit="1" customWidth="1"/>
    <col min="9219" max="9219" width="11.42578125" style="180" customWidth="1"/>
    <col min="9220" max="9221" width="11.5703125" style="180" bestFit="1" customWidth="1"/>
    <col min="9222" max="9222" width="11.42578125" style="180"/>
    <col min="9223" max="9223" width="11.5703125" style="180" bestFit="1" customWidth="1"/>
    <col min="9224" max="9471" width="11.42578125" style="180"/>
    <col min="9472" max="9472" width="3.85546875" style="180" customWidth="1"/>
    <col min="9473" max="9473" width="71.42578125" style="180" customWidth="1"/>
    <col min="9474" max="9474" width="10.85546875" style="180" bestFit="1" customWidth="1"/>
    <col min="9475" max="9475" width="11.42578125" style="180" customWidth="1"/>
    <col min="9476" max="9477" width="11.5703125" style="180" bestFit="1" customWidth="1"/>
    <col min="9478" max="9478" width="11.42578125" style="180"/>
    <col min="9479" max="9479" width="11.5703125" style="180" bestFit="1" customWidth="1"/>
    <col min="9480" max="9727" width="11.42578125" style="180"/>
    <col min="9728" max="9728" width="3.85546875" style="180" customWidth="1"/>
    <col min="9729" max="9729" width="71.42578125" style="180" customWidth="1"/>
    <col min="9730" max="9730" width="10.85546875" style="180" bestFit="1" customWidth="1"/>
    <col min="9731" max="9731" width="11.42578125" style="180" customWidth="1"/>
    <col min="9732" max="9733" width="11.5703125" style="180" bestFit="1" customWidth="1"/>
    <col min="9734" max="9734" width="11.42578125" style="180"/>
    <col min="9735" max="9735" width="11.5703125" style="180" bestFit="1" customWidth="1"/>
    <col min="9736" max="9983" width="11.42578125" style="180"/>
    <col min="9984" max="9984" width="3.85546875" style="180" customWidth="1"/>
    <col min="9985" max="9985" width="71.42578125" style="180" customWidth="1"/>
    <col min="9986" max="9986" width="10.85546875" style="180" bestFit="1" customWidth="1"/>
    <col min="9987" max="9987" width="11.42578125" style="180" customWidth="1"/>
    <col min="9988" max="9989" width="11.5703125" style="180" bestFit="1" customWidth="1"/>
    <col min="9990" max="9990" width="11.42578125" style="180"/>
    <col min="9991" max="9991" width="11.5703125" style="180" bestFit="1" customWidth="1"/>
    <col min="9992" max="10239" width="11.42578125" style="180"/>
    <col min="10240" max="10240" width="3.85546875" style="180" customWidth="1"/>
    <col min="10241" max="10241" width="71.42578125" style="180" customWidth="1"/>
    <col min="10242" max="10242" width="10.85546875" style="180" bestFit="1" customWidth="1"/>
    <col min="10243" max="10243" width="11.42578125" style="180" customWidth="1"/>
    <col min="10244" max="10245" width="11.5703125" style="180" bestFit="1" customWidth="1"/>
    <col min="10246" max="10246" width="11.42578125" style="180"/>
    <col min="10247" max="10247" width="11.5703125" style="180" bestFit="1" customWidth="1"/>
    <col min="10248" max="10495" width="11.42578125" style="180"/>
    <col min="10496" max="10496" width="3.85546875" style="180" customWidth="1"/>
    <col min="10497" max="10497" width="71.42578125" style="180" customWidth="1"/>
    <col min="10498" max="10498" width="10.85546875" style="180" bestFit="1" customWidth="1"/>
    <col min="10499" max="10499" width="11.42578125" style="180" customWidth="1"/>
    <col min="10500" max="10501" width="11.5703125" style="180" bestFit="1" customWidth="1"/>
    <col min="10502" max="10502" width="11.42578125" style="180"/>
    <col min="10503" max="10503" width="11.5703125" style="180" bestFit="1" customWidth="1"/>
    <col min="10504" max="10751" width="11.42578125" style="180"/>
    <col min="10752" max="10752" width="3.85546875" style="180" customWidth="1"/>
    <col min="10753" max="10753" width="71.42578125" style="180" customWidth="1"/>
    <col min="10754" max="10754" width="10.85546875" style="180" bestFit="1" customWidth="1"/>
    <col min="10755" max="10755" width="11.42578125" style="180" customWidth="1"/>
    <col min="10756" max="10757" width="11.5703125" style="180" bestFit="1" customWidth="1"/>
    <col min="10758" max="10758" width="11.42578125" style="180"/>
    <col min="10759" max="10759" width="11.5703125" style="180" bestFit="1" customWidth="1"/>
    <col min="10760" max="11007" width="11.42578125" style="180"/>
    <col min="11008" max="11008" width="3.85546875" style="180" customWidth="1"/>
    <col min="11009" max="11009" width="71.42578125" style="180" customWidth="1"/>
    <col min="11010" max="11010" width="10.85546875" style="180" bestFit="1" customWidth="1"/>
    <col min="11011" max="11011" width="11.42578125" style="180" customWidth="1"/>
    <col min="11012" max="11013" width="11.5703125" style="180" bestFit="1" customWidth="1"/>
    <col min="11014" max="11014" width="11.42578125" style="180"/>
    <col min="11015" max="11015" width="11.5703125" style="180" bestFit="1" customWidth="1"/>
    <col min="11016" max="11263" width="11.42578125" style="180"/>
    <col min="11264" max="11264" width="3.85546875" style="180" customWidth="1"/>
    <col min="11265" max="11265" width="71.42578125" style="180" customWidth="1"/>
    <col min="11266" max="11266" width="10.85546875" style="180" bestFit="1" customWidth="1"/>
    <col min="11267" max="11267" width="11.42578125" style="180" customWidth="1"/>
    <col min="11268" max="11269" width="11.5703125" style="180" bestFit="1" customWidth="1"/>
    <col min="11270" max="11270" width="11.42578125" style="180"/>
    <col min="11271" max="11271" width="11.5703125" style="180" bestFit="1" customWidth="1"/>
    <col min="11272" max="11519" width="11.42578125" style="180"/>
    <col min="11520" max="11520" width="3.85546875" style="180" customWidth="1"/>
    <col min="11521" max="11521" width="71.42578125" style="180" customWidth="1"/>
    <col min="11522" max="11522" width="10.85546875" style="180" bestFit="1" customWidth="1"/>
    <col min="11523" max="11523" width="11.42578125" style="180" customWidth="1"/>
    <col min="11524" max="11525" width="11.5703125" style="180" bestFit="1" customWidth="1"/>
    <col min="11526" max="11526" width="11.42578125" style="180"/>
    <col min="11527" max="11527" width="11.5703125" style="180" bestFit="1" customWidth="1"/>
    <col min="11528" max="11775" width="11.42578125" style="180"/>
    <col min="11776" max="11776" width="3.85546875" style="180" customWidth="1"/>
    <col min="11777" max="11777" width="71.42578125" style="180" customWidth="1"/>
    <col min="11778" max="11778" width="10.85546875" style="180" bestFit="1" customWidth="1"/>
    <col min="11779" max="11779" width="11.42578125" style="180" customWidth="1"/>
    <col min="11780" max="11781" width="11.5703125" style="180" bestFit="1" customWidth="1"/>
    <col min="11782" max="11782" width="11.42578125" style="180"/>
    <col min="11783" max="11783" width="11.5703125" style="180" bestFit="1" customWidth="1"/>
    <col min="11784" max="12031" width="11.42578125" style="180"/>
    <col min="12032" max="12032" width="3.85546875" style="180" customWidth="1"/>
    <col min="12033" max="12033" width="71.42578125" style="180" customWidth="1"/>
    <col min="12034" max="12034" width="10.85546875" style="180" bestFit="1" customWidth="1"/>
    <col min="12035" max="12035" width="11.42578125" style="180" customWidth="1"/>
    <col min="12036" max="12037" width="11.5703125" style="180" bestFit="1" customWidth="1"/>
    <col min="12038" max="12038" width="11.42578125" style="180"/>
    <col min="12039" max="12039" width="11.5703125" style="180" bestFit="1" customWidth="1"/>
    <col min="12040" max="12287" width="11.42578125" style="180"/>
    <col min="12288" max="12288" width="3.85546875" style="180" customWidth="1"/>
    <col min="12289" max="12289" width="71.42578125" style="180" customWidth="1"/>
    <col min="12290" max="12290" width="10.85546875" style="180" bestFit="1" customWidth="1"/>
    <col min="12291" max="12291" width="11.42578125" style="180" customWidth="1"/>
    <col min="12292" max="12293" width="11.5703125" style="180" bestFit="1" customWidth="1"/>
    <col min="12294" max="12294" width="11.42578125" style="180"/>
    <col min="12295" max="12295" width="11.5703125" style="180" bestFit="1" customWidth="1"/>
    <col min="12296" max="12543" width="11.42578125" style="180"/>
    <col min="12544" max="12544" width="3.85546875" style="180" customWidth="1"/>
    <col min="12545" max="12545" width="71.42578125" style="180" customWidth="1"/>
    <col min="12546" max="12546" width="10.85546875" style="180" bestFit="1" customWidth="1"/>
    <col min="12547" max="12547" width="11.42578125" style="180" customWidth="1"/>
    <col min="12548" max="12549" width="11.5703125" style="180" bestFit="1" customWidth="1"/>
    <col min="12550" max="12550" width="11.42578125" style="180"/>
    <col min="12551" max="12551" width="11.5703125" style="180" bestFit="1" customWidth="1"/>
    <col min="12552" max="12799" width="11.42578125" style="180"/>
    <col min="12800" max="12800" width="3.85546875" style="180" customWidth="1"/>
    <col min="12801" max="12801" width="71.42578125" style="180" customWidth="1"/>
    <col min="12802" max="12802" width="10.85546875" style="180" bestFit="1" customWidth="1"/>
    <col min="12803" max="12803" width="11.42578125" style="180" customWidth="1"/>
    <col min="12804" max="12805" width="11.5703125" style="180" bestFit="1" customWidth="1"/>
    <col min="12806" max="12806" width="11.42578125" style="180"/>
    <col min="12807" max="12807" width="11.5703125" style="180" bestFit="1" customWidth="1"/>
    <col min="12808" max="13055" width="11.42578125" style="180"/>
    <col min="13056" max="13056" width="3.85546875" style="180" customWidth="1"/>
    <col min="13057" max="13057" width="71.42578125" style="180" customWidth="1"/>
    <col min="13058" max="13058" width="10.85546875" style="180" bestFit="1" customWidth="1"/>
    <col min="13059" max="13059" width="11.42578125" style="180" customWidth="1"/>
    <col min="13060" max="13061" width="11.5703125" style="180" bestFit="1" customWidth="1"/>
    <col min="13062" max="13062" width="11.42578125" style="180"/>
    <col min="13063" max="13063" width="11.5703125" style="180" bestFit="1" customWidth="1"/>
    <col min="13064" max="13311" width="11.42578125" style="180"/>
    <col min="13312" max="13312" width="3.85546875" style="180" customWidth="1"/>
    <col min="13313" max="13313" width="71.42578125" style="180" customWidth="1"/>
    <col min="13314" max="13314" width="10.85546875" style="180" bestFit="1" customWidth="1"/>
    <col min="13315" max="13315" width="11.42578125" style="180" customWidth="1"/>
    <col min="13316" max="13317" width="11.5703125" style="180" bestFit="1" customWidth="1"/>
    <col min="13318" max="13318" width="11.42578125" style="180"/>
    <col min="13319" max="13319" width="11.5703125" style="180" bestFit="1" customWidth="1"/>
    <col min="13320" max="13567" width="11.42578125" style="180"/>
    <col min="13568" max="13568" width="3.85546875" style="180" customWidth="1"/>
    <col min="13569" max="13569" width="71.42578125" style="180" customWidth="1"/>
    <col min="13570" max="13570" width="10.85546875" style="180" bestFit="1" customWidth="1"/>
    <col min="13571" max="13571" width="11.42578125" style="180" customWidth="1"/>
    <col min="13572" max="13573" width="11.5703125" style="180" bestFit="1" customWidth="1"/>
    <col min="13574" max="13574" width="11.42578125" style="180"/>
    <col min="13575" max="13575" width="11.5703125" style="180" bestFit="1" customWidth="1"/>
    <col min="13576" max="13823" width="11.42578125" style="180"/>
    <col min="13824" max="13824" width="3.85546875" style="180" customWidth="1"/>
    <col min="13825" max="13825" width="71.42578125" style="180" customWidth="1"/>
    <col min="13826" max="13826" width="10.85546875" style="180" bestFit="1" customWidth="1"/>
    <col min="13827" max="13827" width="11.42578125" style="180" customWidth="1"/>
    <col min="13828" max="13829" width="11.5703125" style="180" bestFit="1" customWidth="1"/>
    <col min="13830" max="13830" width="11.42578125" style="180"/>
    <col min="13831" max="13831" width="11.5703125" style="180" bestFit="1" customWidth="1"/>
    <col min="13832" max="14079" width="11.42578125" style="180"/>
    <col min="14080" max="14080" width="3.85546875" style="180" customWidth="1"/>
    <col min="14081" max="14081" width="71.42578125" style="180" customWidth="1"/>
    <col min="14082" max="14082" width="10.85546875" style="180" bestFit="1" customWidth="1"/>
    <col min="14083" max="14083" width="11.42578125" style="180" customWidth="1"/>
    <col min="14084" max="14085" width="11.5703125" style="180" bestFit="1" customWidth="1"/>
    <col min="14086" max="14086" width="11.42578125" style="180"/>
    <col min="14087" max="14087" width="11.5703125" style="180" bestFit="1" customWidth="1"/>
    <col min="14088" max="14335" width="11.42578125" style="180"/>
    <col min="14336" max="14336" width="3.85546875" style="180" customWidth="1"/>
    <col min="14337" max="14337" width="71.42578125" style="180" customWidth="1"/>
    <col min="14338" max="14338" width="10.85546875" style="180" bestFit="1" customWidth="1"/>
    <col min="14339" max="14339" width="11.42578125" style="180" customWidth="1"/>
    <col min="14340" max="14341" width="11.5703125" style="180" bestFit="1" customWidth="1"/>
    <col min="14342" max="14342" width="11.42578125" style="180"/>
    <col min="14343" max="14343" width="11.5703125" style="180" bestFit="1" customWidth="1"/>
    <col min="14344" max="14591" width="11.42578125" style="180"/>
    <col min="14592" max="14592" width="3.85546875" style="180" customWidth="1"/>
    <col min="14593" max="14593" width="71.42578125" style="180" customWidth="1"/>
    <col min="14594" max="14594" width="10.85546875" style="180" bestFit="1" customWidth="1"/>
    <col min="14595" max="14595" width="11.42578125" style="180" customWidth="1"/>
    <col min="14596" max="14597" width="11.5703125" style="180" bestFit="1" customWidth="1"/>
    <col min="14598" max="14598" width="11.42578125" style="180"/>
    <col min="14599" max="14599" width="11.5703125" style="180" bestFit="1" customWidth="1"/>
    <col min="14600" max="14847" width="11.42578125" style="180"/>
    <col min="14848" max="14848" width="3.85546875" style="180" customWidth="1"/>
    <col min="14849" max="14849" width="71.42578125" style="180" customWidth="1"/>
    <col min="14850" max="14850" width="10.85546875" style="180" bestFit="1" customWidth="1"/>
    <col min="14851" max="14851" width="11.42578125" style="180" customWidth="1"/>
    <col min="14852" max="14853" width="11.5703125" style="180" bestFit="1" customWidth="1"/>
    <col min="14854" max="14854" width="11.42578125" style="180"/>
    <col min="14855" max="14855" width="11.5703125" style="180" bestFit="1" customWidth="1"/>
    <col min="14856" max="15103" width="11.42578125" style="180"/>
    <col min="15104" max="15104" width="3.85546875" style="180" customWidth="1"/>
    <col min="15105" max="15105" width="71.42578125" style="180" customWidth="1"/>
    <col min="15106" max="15106" width="10.85546875" style="180" bestFit="1" customWidth="1"/>
    <col min="15107" max="15107" width="11.42578125" style="180" customWidth="1"/>
    <col min="15108" max="15109" width="11.5703125" style="180" bestFit="1" customWidth="1"/>
    <col min="15110" max="15110" width="11.42578125" style="180"/>
    <col min="15111" max="15111" width="11.5703125" style="180" bestFit="1" customWidth="1"/>
    <col min="15112" max="15359" width="11.42578125" style="180"/>
    <col min="15360" max="15360" width="3.85546875" style="180" customWidth="1"/>
    <col min="15361" max="15361" width="71.42578125" style="180" customWidth="1"/>
    <col min="15362" max="15362" width="10.85546875" style="180" bestFit="1" customWidth="1"/>
    <col min="15363" max="15363" width="11.42578125" style="180" customWidth="1"/>
    <col min="15364" max="15365" width="11.5703125" style="180" bestFit="1" customWidth="1"/>
    <col min="15366" max="15366" width="11.42578125" style="180"/>
    <col min="15367" max="15367" width="11.5703125" style="180" bestFit="1" customWidth="1"/>
    <col min="15368" max="15615" width="11.42578125" style="180"/>
    <col min="15616" max="15616" width="3.85546875" style="180" customWidth="1"/>
    <col min="15617" max="15617" width="71.42578125" style="180" customWidth="1"/>
    <col min="15618" max="15618" width="10.85546875" style="180" bestFit="1" customWidth="1"/>
    <col min="15619" max="15619" width="11.42578125" style="180" customWidth="1"/>
    <col min="15620" max="15621" width="11.5703125" style="180" bestFit="1" customWidth="1"/>
    <col min="15622" max="15622" width="11.42578125" style="180"/>
    <col min="15623" max="15623" width="11.5703125" style="180" bestFit="1" customWidth="1"/>
    <col min="15624" max="15871" width="11.42578125" style="180"/>
    <col min="15872" max="15872" width="3.85546875" style="180" customWidth="1"/>
    <col min="15873" max="15873" width="71.42578125" style="180" customWidth="1"/>
    <col min="15874" max="15874" width="10.85546875" style="180" bestFit="1" customWidth="1"/>
    <col min="15875" max="15875" width="11.42578125" style="180" customWidth="1"/>
    <col min="15876" max="15877" width="11.5703125" style="180" bestFit="1" customWidth="1"/>
    <col min="15878" max="15878" width="11.42578125" style="180"/>
    <col min="15879" max="15879" width="11.5703125" style="180" bestFit="1" customWidth="1"/>
    <col min="15880" max="16127" width="11.42578125" style="180"/>
    <col min="16128" max="16128" width="3.85546875" style="180" customWidth="1"/>
    <col min="16129" max="16129" width="71.42578125" style="180" customWidth="1"/>
    <col min="16130" max="16130" width="10.85546875" style="180" bestFit="1" customWidth="1"/>
    <col min="16131" max="16131" width="11.42578125" style="180" customWidth="1"/>
    <col min="16132" max="16133" width="11.5703125" style="180" bestFit="1" customWidth="1"/>
    <col min="16134" max="16134" width="11.42578125" style="180"/>
    <col min="16135" max="16135" width="11.5703125" style="180" bestFit="1" customWidth="1"/>
    <col min="16136" max="16384" width="11.42578125" style="180"/>
  </cols>
  <sheetData>
    <row r="1" spans="2:6" ht="26.25" x14ac:dyDescent="0.4">
      <c r="B1" s="178" t="s">
        <v>678</v>
      </c>
    </row>
    <row r="2" spans="2:6" ht="18.75" x14ac:dyDescent="0.3">
      <c r="B2" s="181" t="s">
        <v>168</v>
      </c>
    </row>
    <row r="3" spans="2:6" ht="78" customHeight="1" thickBot="1" x14ac:dyDescent="0.3">
      <c r="B3" s="180"/>
      <c r="D3" s="182" t="s">
        <v>51</v>
      </c>
      <c r="E3" s="182" t="s">
        <v>169</v>
      </c>
    </row>
    <row r="4" spans="2:6" ht="15.75" thickBot="1" x14ac:dyDescent="0.3">
      <c r="B4" s="196" t="s">
        <v>170</v>
      </c>
      <c r="C4" s="197"/>
      <c r="D4" s="198"/>
      <c r="E4" s="198"/>
    </row>
    <row r="5" spans="2:6" ht="30.75" thickBot="1" x14ac:dyDescent="0.3">
      <c r="B5" s="189" t="s">
        <v>171</v>
      </c>
      <c r="C5" s="190">
        <v>1700</v>
      </c>
      <c r="D5" s="191"/>
      <c r="E5" s="191">
        <f>+C5</f>
        <v>1700</v>
      </c>
    </row>
    <row r="6" spans="2:6" ht="56.25" customHeight="1" thickBot="1" x14ac:dyDescent="0.3">
      <c r="B6" s="189" t="s">
        <v>679</v>
      </c>
      <c r="C6" s="190">
        <v>50000</v>
      </c>
      <c r="D6" s="191"/>
      <c r="E6" s="191">
        <f>+C6</f>
        <v>50000</v>
      </c>
    </row>
    <row r="7" spans="2:6" ht="30.75" thickBot="1" x14ac:dyDescent="0.3">
      <c r="B7" s="193" t="s">
        <v>223</v>
      </c>
      <c r="C7" s="194"/>
      <c r="D7" s="195"/>
      <c r="E7" s="195"/>
    </row>
    <row r="8" spans="2:6" x14ac:dyDescent="0.25">
      <c r="B8" s="192" t="s">
        <v>680</v>
      </c>
      <c r="C8" s="183"/>
      <c r="D8" s="184"/>
      <c r="E8" s="184"/>
    </row>
    <row r="9" spans="2:6" ht="15.75" thickBot="1" x14ac:dyDescent="0.3">
      <c r="B9" s="185" t="s">
        <v>172</v>
      </c>
      <c r="C9" s="186">
        <v>63450</v>
      </c>
      <c r="D9" s="187"/>
      <c r="E9" s="187">
        <v>63450</v>
      </c>
    </row>
    <row r="10" spans="2:6" ht="15.75" thickBot="1" x14ac:dyDescent="0.3">
      <c r="B10" s="189" t="s">
        <v>173</v>
      </c>
      <c r="C10" s="190">
        <v>124300</v>
      </c>
      <c r="D10" s="191"/>
      <c r="E10" s="191">
        <f>+C10</f>
        <v>124300</v>
      </c>
    </row>
    <row r="11" spans="2:6" ht="15.75" thickBot="1" x14ac:dyDescent="0.3">
      <c r="B11" s="189" t="s">
        <v>174</v>
      </c>
      <c r="C11" s="190">
        <v>250400</v>
      </c>
      <c r="D11" s="191"/>
      <c r="E11" s="191">
        <f>+C11</f>
        <v>250400</v>
      </c>
    </row>
    <row r="12" spans="2:6" ht="15.75" thickBot="1" x14ac:dyDescent="0.3">
      <c r="B12" s="189" t="s">
        <v>224</v>
      </c>
      <c r="C12" s="190">
        <v>30000</v>
      </c>
      <c r="D12" s="191"/>
      <c r="E12" s="191">
        <f>+C12</f>
        <v>30000</v>
      </c>
      <c r="F12" s="179" t="s">
        <v>681</v>
      </c>
    </row>
    <row r="13" spans="2:6" ht="30.75" thickBot="1" x14ac:dyDescent="0.3">
      <c r="B13" s="189" t="s">
        <v>225</v>
      </c>
      <c r="C13" s="190">
        <v>65000</v>
      </c>
      <c r="D13" s="191"/>
      <c r="E13" s="191">
        <f>+C13</f>
        <v>65000</v>
      </c>
      <c r="F13" s="179" t="s">
        <v>682</v>
      </c>
    </row>
    <row r="14" spans="2:6" ht="15.75" thickBot="1" x14ac:dyDescent="0.3">
      <c r="B14" s="193" t="s">
        <v>175</v>
      </c>
      <c r="C14" s="194"/>
      <c r="D14" s="195"/>
      <c r="E14" s="195"/>
    </row>
    <row r="15" spans="2:6" ht="30.75" thickBot="1" x14ac:dyDescent="0.3">
      <c r="B15" s="189" t="s">
        <v>683</v>
      </c>
      <c r="C15" s="190">
        <v>20000</v>
      </c>
      <c r="D15" s="191"/>
      <c r="E15" s="191">
        <f>+C15</f>
        <v>20000</v>
      </c>
    </row>
    <row r="16" spans="2:6" ht="15.75" thickBot="1" x14ac:dyDescent="0.3">
      <c r="B16" s="189" t="s">
        <v>684</v>
      </c>
      <c r="C16" s="190">
        <v>15000</v>
      </c>
      <c r="D16" s="191"/>
      <c r="E16" s="191">
        <f>+C16</f>
        <v>15000</v>
      </c>
    </row>
    <row r="17" spans="2:5" ht="15.75" thickBot="1" x14ac:dyDescent="0.3">
      <c r="B17" s="189" t="s">
        <v>685</v>
      </c>
      <c r="C17" s="190">
        <v>8000</v>
      </c>
      <c r="D17" s="191">
        <v>8000</v>
      </c>
      <c r="E17" s="191"/>
    </row>
    <row r="18" spans="2:5" ht="15.75" thickBot="1" x14ac:dyDescent="0.3">
      <c r="B18" s="189" t="s">
        <v>176</v>
      </c>
      <c r="C18" s="190">
        <v>5000</v>
      </c>
      <c r="D18" s="191">
        <f>+C18</f>
        <v>5000</v>
      </c>
      <c r="E18" s="191"/>
    </row>
    <row r="19" spans="2:5" ht="19.5" customHeight="1" thickBot="1" x14ac:dyDescent="0.3">
      <c r="B19" s="189" t="s">
        <v>686</v>
      </c>
      <c r="C19" s="190">
        <v>9800</v>
      </c>
      <c r="D19" s="191"/>
      <c r="E19" s="191">
        <f>+C19</f>
        <v>9800</v>
      </c>
    </row>
    <row r="20" spans="2:5" ht="15.75" thickBot="1" x14ac:dyDescent="0.3">
      <c r="B20" s="189" t="s">
        <v>177</v>
      </c>
      <c r="C20" s="190">
        <v>400</v>
      </c>
      <c r="D20" s="191"/>
      <c r="E20" s="191">
        <f>+C20</f>
        <v>400</v>
      </c>
    </row>
    <row r="21" spans="2:5" ht="15.75" thickBot="1" x14ac:dyDescent="0.3">
      <c r="B21" s="189" t="s">
        <v>178</v>
      </c>
      <c r="C21" s="190">
        <v>550</v>
      </c>
      <c r="D21" s="191">
        <f>+C21</f>
        <v>550</v>
      </c>
      <c r="E21" s="191"/>
    </row>
    <row r="22" spans="2:5" ht="15.75" thickBot="1" x14ac:dyDescent="0.3">
      <c r="B22" s="189" t="s">
        <v>179</v>
      </c>
      <c r="C22" s="190">
        <v>8500</v>
      </c>
      <c r="D22" s="191">
        <f>+C22</f>
        <v>8500</v>
      </c>
      <c r="E22" s="191"/>
    </row>
    <row r="23" spans="2:5" ht="15.75" thickBot="1" x14ac:dyDescent="0.3">
      <c r="B23" s="189" t="s">
        <v>180</v>
      </c>
      <c r="C23" s="190">
        <v>3500</v>
      </c>
      <c r="D23" s="191"/>
      <c r="E23" s="191">
        <f>+C23</f>
        <v>3500</v>
      </c>
    </row>
    <row r="24" spans="2:5" ht="15.75" thickBot="1" x14ac:dyDescent="0.3">
      <c r="B24" s="189" t="s">
        <v>181</v>
      </c>
      <c r="C24" s="190">
        <v>953</v>
      </c>
      <c r="D24" s="191"/>
      <c r="E24" s="191">
        <f>+C24</f>
        <v>953</v>
      </c>
    </row>
    <row r="25" spans="2:5" ht="30.75" thickBot="1" x14ac:dyDescent="0.3">
      <c r="B25" s="189" t="s">
        <v>182</v>
      </c>
      <c r="C25" s="190">
        <v>57570</v>
      </c>
      <c r="D25" s="191"/>
      <c r="E25" s="191">
        <f>+C25</f>
        <v>57570</v>
      </c>
    </row>
    <row r="26" spans="2:5" ht="15.75" thickBot="1" x14ac:dyDescent="0.3">
      <c r="B26" s="199" t="s">
        <v>84</v>
      </c>
      <c r="C26" s="200">
        <f>SUM(C5:C25)</f>
        <v>714123</v>
      </c>
      <c r="D26" s="201">
        <f t="shared" ref="D26:E26" si="0">SUM(D5:D25)</f>
        <v>22050</v>
      </c>
      <c r="E26" s="201">
        <f t="shared" si="0"/>
        <v>692073</v>
      </c>
    </row>
    <row r="28" spans="2:5" ht="30" x14ac:dyDescent="0.25">
      <c r="B28" s="188" t="s">
        <v>687</v>
      </c>
    </row>
    <row r="29" spans="2:5" x14ac:dyDescent="0.25">
      <c r="B29" s="188" t="s">
        <v>688</v>
      </c>
    </row>
  </sheetData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9"/>
  <sheetViews>
    <sheetView showGridLines="0" topLeftCell="A53" workbookViewId="0">
      <selection activeCell="C68" sqref="C68"/>
    </sheetView>
  </sheetViews>
  <sheetFormatPr baseColWidth="10" defaultColWidth="11.42578125" defaultRowHeight="15.75" x14ac:dyDescent="0.25"/>
  <cols>
    <col min="1" max="1" width="7.7109375" style="813" customWidth="1"/>
    <col min="2" max="2" width="54.5703125" style="813" customWidth="1"/>
    <col min="3" max="3" width="57.42578125" style="813" customWidth="1"/>
    <col min="4" max="4" width="15.42578125" style="813" bestFit="1" customWidth="1"/>
    <col min="5" max="15" width="17.7109375" style="813" bestFit="1" customWidth="1"/>
    <col min="16" max="27" width="17.7109375" style="671" bestFit="1" customWidth="1"/>
    <col min="28" max="28" width="17.7109375" style="671" customWidth="1"/>
    <col min="29" max="256" width="11.42578125" style="671"/>
    <col min="257" max="257" width="7.7109375" style="671" customWidth="1"/>
    <col min="258" max="258" width="54.7109375" style="671" customWidth="1"/>
    <col min="259" max="259" width="58.28515625" style="671" customWidth="1"/>
    <col min="260" max="260" width="15.42578125" style="671" bestFit="1" customWidth="1"/>
    <col min="261" max="283" width="17.7109375" style="671" bestFit="1" customWidth="1"/>
    <col min="284" max="284" width="17.7109375" style="671" customWidth="1"/>
    <col min="285" max="512" width="11.42578125" style="671"/>
    <col min="513" max="513" width="7.7109375" style="671" customWidth="1"/>
    <col min="514" max="514" width="54.7109375" style="671" customWidth="1"/>
    <col min="515" max="515" width="58.28515625" style="671" customWidth="1"/>
    <col min="516" max="516" width="15.42578125" style="671" bestFit="1" customWidth="1"/>
    <col min="517" max="539" width="17.7109375" style="671" bestFit="1" customWidth="1"/>
    <col min="540" max="540" width="17.7109375" style="671" customWidth="1"/>
    <col min="541" max="768" width="11.42578125" style="671"/>
    <col min="769" max="769" width="7.7109375" style="671" customWidth="1"/>
    <col min="770" max="770" width="54.7109375" style="671" customWidth="1"/>
    <col min="771" max="771" width="58.28515625" style="671" customWidth="1"/>
    <col min="772" max="772" width="15.42578125" style="671" bestFit="1" customWidth="1"/>
    <col min="773" max="795" width="17.7109375" style="671" bestFit="1" customWidth="1"/>
    <col min="796" max="796" width="17.7109375" style="671" customWidth="1"/>
    <col min="797" max="1024" width="11.42578125" style="671"/>
    <col min="1025" max="1025" width="7.7109375" style="671" customWidth="1"/>
    <col min="1026" max="1026" width="54.7109375" style="671" customWidth="1"/>
    <col min="1027" max="1027" width="58.28515625" style="671" customWidth="1"/>
    <col min="1028" max="1028" width="15.42578125" style="671" bestFit="1" customWidth="1"/>
    <col min="1029" max="1051" width="17.7109375" style="671" bestFit="1" customWidth="1"/>
    <col min="1052" max="1052" width="17.7109375" style="671" customWidth="1"/>
    <col min="1053" max="1280" width="11.42578125" style="671"/>
    <col min="1281" max="1281" width="7.7109375" style="671" customWidth="1"/>
    <col min="1282" max="1282" width="54.7109375" style="671" customWidth="1"/>
    <col min="1283" max="1283" width="58.28515625" style="671" customWidth="1"/>
    <col min="1284" max="1284" width="15.42578125" style="671" bestFit="1" customWidth="1"/>
    <col min="1285" max="1307" width="17.7109375" style="671" bestFit="1" customWidth="1"/>
    <col min="1308" max="1308" width="17.7109375" style="671" customWidth="1"/>
    <col min="1309" max="1536" width="11.42578125" style="671"/>
    <col min="1537" max="1537" width="7.7109375" style="671" customWidth="1"/>
    <col min="1538" max="1538" width="54.7109375" style="671" customWidth="1"/>
    <col min="1539" max="1539" width="58.28515625" style="671" customWidth="1"/>
    <col min="1540" max="1540" width="15.42578125" style="671" bestFit="1" customWidth="1"/>
    <col min="1541" max="1563" width="17.7109375" style="671" bestFit="1" customWidth="1"/>
    <col min="1564" max="1564" width="17.7109375" style="671" customWidth="1"/>
    <col min="1565" max="1792" width="11.42578125" style="671"/>
    <col min="1793" max="1793" width="7.7109375" style="671" customWidth="1"/>
    <col min="1794" max="1794" width="54.7109375" style="671" customWidth="1"/>
    <col min="1795" max="1795" width="58.28515625" style="671" customWidth="1"/>
    <col min="1796" max="1796" width="15.42578125" style="671" bestFit="1" customWidth="1"/>
    <col min="1797" max="1819" width="17.7109375" style="671" bestFit="1" customWidth="1"/>
    <col min="1820" max="1820" width="17.7109375" style="671" customWidth="1"/>
    <col min="1821" max="2048" width="11.42578125" style="671"/>
    <col min="2049" max="2049" width="7.7109375" style="671" customWidth="1"/>
    <col min="2050" max="2050" width="54.7109375" style="671" customWidth="1"/>
    <col min="2051" max="2051" width="58.28515625" style="671" customWidth="1"/>
    <col min="2052" max="2052" width="15.42578125" style="671" bestFit="1" customWidth="1"/>
    <col min="2053" max="2075" width="17.7109375" style="671" bestFit="1" customWidth="1"/>
    <col min="2076" max="2076" width="17.7109375" style="671" customWidth="1"/>
    <col min="2077" max="2304" width="11.42578125" style="671"/>
    <col min="2305" max="2305" width="7.7109375" style="671" customWidth="1"/>
    <col min="2306" max="2306" width="54.7109375" style="671" customWidth="1"/>
    <col min="2307" max="2307" width="58.28515625" style="671" customWidth="1"/>
    <col min="2308" max="2308" width="15.42578125" style="671" bestFit="1" customWidth="1"/>
    <col min="2309" max="2331" width="17.7109375" style="671" bestFit="1" customWidth="1"/>
    <col min="2332" max="2332" width="17.7109375" style="671" customWidth="1"/>
    <col min="2333" max="2560" width="11.42578125" style="671"/>
    <col min="2561" max="2561" width="7.7109375" style="671" customWidth="1"/>
    <col min="2562" max="2562" width="54.7109375" style="671" customWidth="1"/>
    <col min="2563" max="2563" width="58.28515625" style="671" customWidth="1"/>
    <col min="2564" max="2564" width="15.42578125" style="671" bestFit="1" customWidth="1"/>
    <col min="2565" max="2587" width="17.7109375" style="671" bestFit="1" customWidth="1"/>
    <col min="2588" max="2588" width="17.7109375" style="671" customWidth="1"/>
    <col min="2589" max="2816" width="11.42578125" style="671"/>
    <col min="2817" max="2817" width="7.7109375" style="671" customWidth="1"/>
    <col min="2818" max="2818" width="54.7109375" style="671" customWidth="1"/>
    <col min="2819" max="2819" width="58.28515625" style="671" customWidth="1"/>
    <col min="2820" max="2820" width="15.42578125" style="671" bestFit="1" customWidth="1"/>
    <col min="2821" max="2843" width="17.7109375" style="671" bestFit="1" customWidth="1"/>
    <col min="2844" max="2844" width="17.7109375" style="671" customWidth="1"/>
    <col min="2845" max="3072" width="11.42578125" style="671"/>
    <col min="3073" max="3073" width="7.7109375" style="671" customWidth="1"/>
    <col min="3074" max="3074" width="54.7109375" style="671" customWidth="1"/>
    <col min="3075" max="3075" width="58.28515625" style="671" customWidth="1"/>
    <col min="3076" max="3076" width="15.42578125" style="671" bestFit="1" customWidth="1"/>
    <col min="3077" max="3099" width="17.7109375" style="671" bestFit="1" customWidth="1"/>
    <col min="3100" max="3100" width="17.7109375" style="671" customWidth="1"/>
    <col min="3101" max="3328" width="11.42578125" style="671"/>
    <col min="3329" max="3329" width="7.7109375" style="671" customWidth="1"/>
    <col min="3330" max="3330" width="54.7109375" style="671" customWidth="1"/>
    <col min="3331" max="3331" width="58.28515625" style="671" customWidth="1"/>
    <col min="3332" max="3332" width="15.42578125" style="671" bestFit="1" customWidth="1"/>
    <col min="3333" max="3355" width="17.7109375" style="671" bestFit="1" customWidth="1"/>
    <col min="3356" max="3356" width="17.7109375" style="671" customWidth="1"/>
    <col min="3357" max="3584" width="11.42578125" style="671"/>
    <col min="3585" max="3585" width="7.7109375" style="671" customWidth="1"/>
    <col min="3586" max="3586" width="54.7109375" style="671" customWidth="1"/>
    <col min="3587" max="3587" width="58.28515625" style="671" customWidth="1"/>
    <col min="3588" max="3588" width="15.42578125" style="671" bestFit="1" customWidth="1"/>
    <col min="3589" max="3611" width="17.7109375" style="671" bestFit="1" customWidth="1"/>
    <col min="3612" max="3612" width="17.7109375" style="671" customWidth="1"/>
    <col min="3613" max="3840" width="11.42578125" style="671"/>
    <col min="3841" max="3841" width="7.7109375" style="671" customWidth="1"/>
    <col min="3842" max="3842" width="54.7109375" style="671" customWidth="1"/>
    <col min="3843" max="3843" width="58.28515625" style="671" customWidth="1"/>
    <col min="3844" max="3844" width="15.42578125" style="671" bestFit="1" customWidth="1"/>
    <col min="3845" max="3867" width="17.7109375" style="671" bestFit="1" customWidth="1"/>
    <col min="3868" max="3868" width="17.7109375" style="671" customWidth="1"/>
    <col min="3869" max="4096" width="11.42578125" style="671"/>
    <col min="4097" max="4097" width="7.7109375" style="671" customWidth="1"/>
    <col min="4098" max="4098" width="54.7109375" style="671" customWidth="1"/>
    <col min="4099" max="4099" width="58.28515625" style="671" customWidth="1"/>
    <col min="4100" max="4100" width="15.42578125" style="671" bestFit="1" customWidth="1"/>
    <col min="4101" max="4123" width="17.7109375" style="671" bestFit="1" customWidth="1"/>
    <col min="4124" max="4124" width="17.7109375" style="671" customWidth="1"/>
    <col min="4125" max="4352" width="11.42578125" style="671"/>
    <col min="4353" max="4353" width="7.7109375" style="671" customWidth="1"/>
    <col min="4354" max="4354" width="54.7109375" style="671" customWidth="1"/>
    <col min="4355" max="4355" width="58.28515625" style="671" customWidth="1"/>
    <col min="4356" max="4356" width="15.42578125" style="671" bestFit="1" customWidth="1"/>
    <col min="4357" max="4379" width="17.7109375" style="671" bestFit="1" customWidth="1"/>
    <col min="4380" max="4380" width="17.7109375" style="671" customWidth="1"/>
    <col min="4381" max="4608" width="11.42578125" style="671"/>
    <col min="4609" max="4609" width="7.7109375" style="671" customWidth="1"/>
    <col min="4610" max="4610" width="54.7109375" style="671" customWidth="1"/>
    <col min="4611" max="4611" width="58.28515625" style="671" customWidth="1"/>
    <col min="4612" max="4612" width="15.42578125" style="671" bestFit="1" customWidth="1"/>
    <col min="4613" max="4635" width="17.7109375" style="671" bestFit="1" customWidth="1"/>
    <col min="4636" max="4636" width="17.7109375" style="671" customWidth="1"/>
    <col min="4637" max="4864" width="11.42578125" style="671"/>
    <col min="4865" max="4865" width="7.7109375" style="671" customWidth="1"/>
    <col min="4866" max="4866" width="54.7109375" style="671" customWidth="1"/>
    <col min="4867" max="4867" width="58.28515625" style="671" customWidth="1"/>
    <col min="4868" max="4868" width="15.42578125" style="671" bestFit="1" customWidth="1"/>
    <col min="4869" max="4891" width="17.7109375" style="671" bestFit="1" customWidth="1"/>
    <col min="4892" max="4892" width="17.7109375" style="671" customWidth="1"/>
    <col min="4893" max="5120" width="11.42578125" style="671"/>
    <col min="5121" max="5121" width="7.7109375" style="671" customWidth="1"/>
    <col min="5122" max="5122" width="54.7109375" style="671" customWidth="1"/>
    <col min="5123" max="5123" width="58.28515625" style="671" customWidth="1"/>
    <col min="5124" max="5124" width="15.42578125" style="671" bestFit="1" customWidth="1"/>
    <col min="5125" max="5147" width="17.7109375" style="671" bestFit="1" customWidth="1"/>
    <col min="5148" max="5148" width="17.7109375" style="671" customWidth="1"/>
    <col min="5149" max="5376" width="11.42578125" style="671"/>
    <col min="5377" max="5377" width="7.7109375" style="671" customWidth="1"/>
    <col min="5378" max="5378" width="54.7109375" style="671" customWidth="1"/>
    <col min="5379" max="5379" width="58.28515625" style="671" customWidth="1"/>
    <col min="5380" max="5380" width="15.42578125" style="671" bestFit="1" customWidth="1"/>
    <col min="5381" max="5403" width="17.7109375" style="671" bestFit="1" customWidth="1"/>
    <col min="5404" max="5404" width="17.7109375" style="671" customWidth="1"/>
    <col min="5405" max="5632" width="11.42578125" style="671"/>
    <col min="5633" max="5633" width="7.7109375" style="671" customWidth="1"/>
    <col min="5634" max="5634" width="54.7109375" style="671" customWidth="1"/>
    <col min="5635" max="5635" width="58.28515625" style="671" customWidth="1"/>
    <col min="5636" max="5636" width="15.42578125" style="671" bestFit="1" customWidth="1"/>
    <col min="5637" max="5659" width="17.7109375" style="671" bestFit="1" customWidth="1"/>
    <col min="5660" max="5660" width="17.7109375" style="671" customWidth="1"/>
    <col min="5661" max="5888" width="11.42578125" style="671"/>
    <col min="5889" max="5889" width="7.7109375" style="671" customWidth="1"/>
    <col min="5890" max="5890" width="54.7109375" style="671" customWidth="1"/>
    <col min="5891" max="5891" width="58.28515625" style="671" customWidth="1"/>
    <col min="5892" max="5892" width="15.42578125" style="671" bestFit="1" customWidth="1"/>
    <col min="5893" max="5915" width="17.7109375" style="671" bestFit="1" customWidth="1"/>
    <col min="5916" max="5916" width="17.7109375" style="671" customWidth="1"/>
    <col min="5917" max="6144" width="11.42578125" style="671"/>
    <col min="6145" max="6145" width="7.7109375" style="671" customWidth="1"/>
    <col min="6146" max="6146" width="54.7109375" style="671" customWidth="1"/>
    <col min="6147" max="6147" width="58.28515625" style="671" customWidth="1"/>
    <col min="6148" max="6148" width="15.42578125" style="671" bestFit="1" customWidth="1"/>
    <col min="6149" max="6171" width="17.7109375" style="671" bestFit="1" customWidth="1"/>
    <col min="6172" max="6172" width="17.7109375" style="671" customWidth="1"/>
    <col min="6173" max="6400" width="11.42578125" style="671"/>
    <col min="6401" max="6401" width="7.7109375" style="671" customWidth="1"/>
    <col min="6402" max="6402" width="54.7109375" style="671" customWidth="1"/>
    <col min="6403" max="6403" width="58.28515625" style="671" customWidth="1"/>
    <col min="6404" max="6404" width="15.42578125" style="671" bestFit="1" customWidth="1"/>
    <col min="6405" max="6427" width="17.7109375" style="671" bestFit="1" customWidth="1"/>
    <col min="6428" max="6428" width="17.7109375" style="671" customWidth="1"/>
    <col min="6429" max="6656" width="11.42578125" style="671"/>
    <col min="6657" max="6657" width="7.7109375" style="671" customWidth="1"/>
    <col min="6658" max="6658" width="54.7109375" style="671" customWidth="1"/>
    <col min="6659" max="6659" width="58.28515625" style="671" customWidth="1"/>
    <col min="6660" max="6660" width="15.42578125" style="671" bestFit="1" customWidth="1"/>
    <col min="6661" max="6683" width="17.7109375" style="671" bestFit="1" customWidth="1"/>
    <col min="6684" max="6684" width="17.7109375" style="671" customWidth="1"/>
    <col min="6685" max="6912" width="11.42578125" style="671"/>
    <col min="6913" max="6913" width="7.7109375" style="671" customWidth="1"/>
    <col min="6914" max="6914" width="54.7109375" style="671" customWidth="1"/>
    <col min="6915" max="6915" width="58.28515625" style="671" customWidth="1"/>
    <col min="6916" max="6916" width="15.42578125" style="671" bestFit="1" customWidth="1"/>
    <col min="6917" max="6939" width="17.7109375" style="671" bestFit="1" customWidth="1"/>
    <col min="6940" max="6940" width="17.7109375" style="671" customWidth="1"/>
    <col min="6941" max="7168" width="11.42578125" style="671"/>
    <col min="7169" max="7169" width="7.7109375" style="671" customWidth="1"/>
    <col min="7170" max="7170" width="54.7109375" style="671" customWidth="1"/>
    <col min="7171" max="7171" width="58.28515625" style="671" customWidth="1"/>
    <col min="7172" max="7172" width="15.42578125" style="671" bestFit="1" customWidth="1"/>
    <col min="7173" max="7195" width="17.7109375" style="671" bestFit="1" customWidth="1"/>
    <col min="7196" max="7196" width="17.7109375" style="671" customWidth="1"/>
    <col min="7197" max="7424" width="11.42578125" style="671"/>
    <col min="7425" max="7425" width="7.7109375" style="671" customWidth="1"/>
    <col min="7426" max="7426" width="54.7109375" style="671" customWidth="1"/>
    <col min="7427" max="7427" width="58.28515625" style="671" customWidth="1"/>
    <col min="7428" max="7428" width="15.42578125" style="671" bestFit="1" customWidth="1"/>
    <col min="7429" max="7451" width="17.7109375" style="671" bestFit="1" customWidth="1"/>
    <col min="7452" max="7452" width="17.7109375" style="671" customWidth="1"/>
    <col min="7453" max="7680" width="11.42578125" style="671"/>
    <col min="7681" max="7681" width="7.7109375" style="671" customWidth="1"/>
    <col min="7682" max="7682" width="54.7109375" style="671" customWidth="1"/>
    <col min="7683" max="7683" width="58.28515625" style="671" customWidth="1"/>
    <col min="7684" max="7684" width="15.42578125" style="671" bestFit="1" customWidth="1"/>
    <col min="7685" max="7707" width="17.7109375" style="671" bestFit="1" customWidth="1"/>
    <col min="7708" max="7708" width="17.7109375" style="671" customWidth="1"/>
    <col min="7709" max="7936" width="11.42578125" style="671"/>
    <col min="7937" max="7937" width="7.7109375" style="671" customWidth="1"/>
    <col min="7938" max="7938" width="54.7109375" style="671" customWidth="1"/>
    <col min="7939" max="7939" width="58.28515625" style="671" customWidth="1"/>
    <col min="7940" max="7940" width="15.42578125" style="671" bestFit="1" customWidth="1"/>
    <col min="7941" max="7963" width="17.7109375" style="671" bestFit="1" customWidth="1"/>
    <col min="7964" max="7964" width="17.7109375" style="671" customWidth="1"/>
    <col min="7965" max="8192" width="11.42578125" style="671"/>
    <col min="8193" max="8193" width="7.7109375" style="671" customWidth="1"/>
    <col min="8194" max="8194" width="54.7109375" style="671" customWidth="1"/>
    <col min="8195" max="8195" width="58.28515625" style="671" customWidth="1"/>
    <col min="8196" max="8196" width="15.42578125" style="671" bestFit="1" customWidth="1"/>
    <col min="8197" max="8219" width="17.7109375" style="671" bestFit="1" customWidth="1"/>
    <col min="8220" max="8220" width="17.7109375" style="671" customWidth="1"/>
    <col min="8221" max="8448" width="11.42578125" style="671"/>
    <col min="8449" max="8449" width="7.7109375" style="671" customWidth="1"/>
    <col min="8450" max="8450" width="54.7109375" style="671" customWidth="1"/>
    <col min="8451" max="8451" width="58.28515625" style="671" customWidth="1"/>
    <col min="8452" max="8452" width="15.42578125" style="671" bestFit="1" customWidth="1"/>
    <col min="8453" max="8475" width="17.7109375" style="671" bestFit="1" customWidth="1"/>
    <col min="8476" max="8476" width="17.7109375" style="671" customWidth="1"/>
    <col min="8477" max="8704" width="11.42578125" style="671"/>
    <col min="8705" max="8705" width="7.7109375" style="671" customWidth="1"/>
    <col min="8706" max="8706" width="54.7109375" style="671" customWidth="1"/>
    <col min="8707" max="8707" width="58.28515625" style="671" customWidth="1"/>
    <col min="8708" max="8708" width="15.42578125" style="671" bestFit="1" customWidth="1"/>
    <col min="8709" max="8731" width="17.7109375" style="671" bestFit="1" customWidth="1"/>
    <col min="8732" max="8732" width="17.7109375" style="671" customWidth="1"/>
    <col min="8733" max="8960" width="11.42578125" style="671"/>
    <col min="8961" max="8961" width="7.7109375" style="671" customWidth="1"/>
    <col min="8962" max="8962" width="54.7109375" style="671" customWidth="1"/>
    <col min="8963" max="8963" width="58.28515625" style="671" customWidth="1"/>
    <col min="8964" max="8964" width="15.42578125" style="671" bestFit="1" customWidth="1"/>
    <col min="8965" max="8987" width="17.7109375" style="671" bestFit="1" customWidth="1"/>
    <col min="8988" max="8988" width="17.7109375" style="671" customWidth="1"/>
    <col min="8989" max="9216" width="11.42578125" style="671"/>
    <col min="9217" max="9217" width="7.7109375" style="671" customWidth="1"/>
    <col min="9218" max="9218" width="54.7109375" style="671" customWidth="1"/>
    <col min="9219" max="9219" width="58.28515625" style="671" customWidth="1"/>
    <col min="9220" max="9220" width="15.42578125" style="671" bestFit="1" customWidth="1"/>
    <col min="9221" max="9243" width="17.7109375" style="671" bestFit="1" customWidth="1"/>
    <col min="9244" max="9244" width="17.7109375" style="671" customWidth="1"/>
    <col min="9245" max="9472" width="11.42578125" style="671"/>
    <col min="9473" max="9473" width="7.7109375" style="671" customWidth="1"/>
    <col min="9474" max="9474" width="54.7109375" style="671" customWidth="1"/>
    <col min="9475" max="9475" width="58.28515625" style="671" customWidth="1"/>
    <col min="9476" max="9476" width="15.42578125" style="671" bestFit="1" customWidth="1"/>
    <col min="9477" max="9499" width="17.7109375" style="671" bestFit="1" customWidth="1"/>
    <col min="9500" max="9500" width="17.7109375" style="671" customWidth="1"/>
    <col min="9501" max="9728" width="11.42578125" style="671"/>
    <col min="9729" max="9729" width="7.7109375" style="671" customWidth="1"/>
    <col min="9730" max="9730" width="54.7109375" style="671" customWidth="1"/>
    <col min="9731" max="9731" width="58.28515625" style="671" customWidth="1"/>
    <col min="9732" max="9732" width="15.42578125" style="671" bestFit="1" customWidth="1"/>
    <col min="9733" max="9755" width="17.7109375" style="671" bestFit="1" customWidth="1"/>
    <col min="9756" max="9756" width="17.7109375" style="671" customWidth="1"/>
    <col min="9757" max="9984" width="11.42578125" style="671"/>
    <col min="9985" max="9985" width="7.7109375" style="671" customWidth="1"/>
    <col min="9986" max="9986" width="54.7109375" style="671" customWidth="1"/>
    <col min="9987" max="9987" width="58.28515625" style="671" customWidth="1"/>
    <col min="9988" max="9988" width="15.42578125" style="671" bestFit="1" customWidth="1"/>
    <col min="9989" max="10011" width="17.7109375" style="671" bestFit="1" customWidth="1"/>
    <col min="10012" max="10012" width="17.7109375" style="671" customWidth="1"/>
    <col min="10013" max="10240" width="11.42578125" style="671"/>
    <col min="10241" max="10241" width="7.7109375" style="671" customWidth="1"/>
    <col min="10242" max="10242" width="54.7109375" style="671" customWidth="1"/>
    <col min="10243" max="10243" width="58.28515625" style="671" customWidth="1"/>
    <col min="10244" max="10244" width="15.42578125" style="671" bestFit="1" customWidth="1"/>
    <col min="10245" max="10267" width="17.7109375" style="671" bestFit="1" customWidth="1"/>
    <col min="10268" max="10268" width="17.7109375" style="671" customWidth="1"/>
    <col min="10269" max="10496" width="11.42578125" style="671"/>
    <col min="10497" max="10497" width="7.7109375" style="671" customWidth="1"/>
    <col min="10498" max="10498" width="54.7109375" style="671" customWidth="1"/>
    <col min="10499" max="10499" width="58.28515625" style="671" customWidth="1"/>
    <col min="10500" max="10500" width="15.42578125" style="671" bestFit="1" customWidth="1"/>
    <col min="10501" max="10523" width="17.7109375" style="671" bestFit="1" customWidth="1"/>
    <col min="10524" max="10524" width="17.7109375" style="671" customWidth="1"/>
    <col min="10525" max="10752" width="11.42578125" style="671"/>
    <col min="10753" max="10753" width="7.7109375" style="671" customWidth="1"/>
    <col min="10754" max="10754" width="54.7109375" style="671" customWidth="1"/>
    <col min="10755" max="10755" width="58.28515625" style="671" customWidth="1"/>
    <col min="10756" max="10756" width="15.42578125" style="671" bestFit="1" customWidth="1"/>
    <col min="10757" max="10779" width="17.7109375" style="671" bestFit="1" customWidth="1"/>
    <col min="10780" max="10780" width="17.7109375" style="671" customWidth="1"/>
    <col min="10781" max="11008" width="11.42578125" style="671"/>
    <col min="11009" max="11009" width="7.7109375" style="671" customWidth="1"/>
    <col min="11010" max="11010" width="54.7109375" style="671" customWidth="1"/>
    <col min="11011" max="11011" width="58.28515625" style="671" customWidth="1"/>
    <col min="11012" max="11012" width="15.42578125" style="671" bestFit="1" customWidth="1"/>
    <col min="11013" max="11035" width="17.7109375" style="671" bestFit="1" customWidth="1"/>
    <col min="11036" max="11036" width="17.7109375" style="671" customWidth="1"/>
    <col min="11037" max="11264" width="11.42578125" style="671"/>
    <col min="11265" max="11265" width="7.7109375" style="671" customWidth="1"/>
    <col min="11266" max="11266" width="54.7109375" style="671" customWidth="1"/>
    <col min="11267" max="11267" width="58.28515625" style="671" customWidth="1"/>
    <col min="11268" max="11268" width="15.42578125" style="671" bestFit="1" customWidth="1"/>
    <col min="11269" max="11291" width="17.7109375" style="671" bestFit="1" customWidth="1"/>
    <col min="11292" max="11292" width="17.7109375" style="671" customWidth="1"/>
    <col min="11293" max="11520" width="11.42578125" style="671"/>
    <col min="11521" max="11521" width="7.7109375" style="671" customWidth="1"/>
    <col min="11522" max="11522" width="54.7109375" style="671" customWidth="1"/>
    <col min="11523" max="11523" width="58.28515625" style="671" customWidth="1"/>
    <col min="11524" max="11524" width="15.42578125" style="671" bestFit="1" customWidth="1"/>
    <col min="11525" max="11547" width="17.7109375" style="671" bestFit="1" customWidth="1"/>
    <col min="11548" max="11548" width="17.7109375" style="671" customWidth="1"/>
    <col min="11549" max="11776" width="11.42578125" style="671"/>
    <col min="11777" max="11777" width="7.7109375" style="671" customWidth="1"/>
    <col min="11778" max="11778" width="54.7109375" style="671" customWidth="1"/>
    <col min="11779" max="11779" width="58.28515625" style="671" customWidth="1"/>
    <col min="11780" max="11780" width="15.42578125" style="671" bestFit="1" customWidth="1"/>
    <col min="11781" max="11803" width="17.7109375" style="671" bestFit="1" customWidth="1"/>
    <col min="11804" max="11804" width="17.7109375" style="671" customWidth="1"/>
    <col min="11805" max="12032" width="11.42578125" style="671"/>
    <col min="12033" max="12033" width="7.7109375" style="671" customWidth="1"/>
    <col min="12034" max="12034" width="54.7109375" style="671" customWidth="1"/>
    <col min="12035" max="12035" width="58.28515625" style="671" customWidth="1"/>
    <col min="12036" max="12036" width="15.42578125" style="671" bestFit="1" customWidth="1"/>
    <col min="12037" max="12059" width="17.7109375" style="671" bestFit="1" customWidth="1"/>
    <col min="12060" max="12060" width="17.7109375" style="671" customWidth="1"/>
    <col min="12061" max="12288" width="11.42578125" style="671"/>
    <col min="12289" max="12289" width="7.7109375" style="671" customWidth="1"/>
    <col min="12290" max="12290" width="54.7109375" style="671" customWidth="1"/>
    <col min="12291" max="12291" width="58.28515625" style="671" customWidth="1"/>
    <col min="12292" max="12292" width="15.42578125" style="671" bestFit="1" customWidth="1"/>
    <col min="12293" max="12315" width="17.7109375" style="671" bestFit="1" customWidth="1"/>
    <col min="12316" max="12316" width="17.7109375" style="671" customWidth="1"/>
    <col min="12317" max="12544" width="11.42578125" style="671"/>
    <col min="12545" max="12545" width="7.7109375" style="671" customWidth="1"/>
    <col min="12546" max="12546" width="54.7109375" style="671" customWidth="1"/>
    <col min="12547" max="12547" width="58.28515625" style="671" customWidth="1"/>
    <col min="12548" max="12548" width="15.42578125" style="671" bestFit="1" customWidth="1"/>
    <col min="12549" max="12571" width="17.7109375" style="671" bestFit="1" customWidth="1"/>
    <col min="12572" max="12572" width="17.7109375" style="671" customWidth="1"/>
    <col min="12573" max="12800" width="11.42578125" style="671"/>
    <col min="12801" max="12801" width="7.7109375" style="671" customWidth="1"/>
    <col min="12802" max="12802" width="54.7109375" style="671" customWidth="1"/>
    <col min="12803" max="12803" width="58.28515625" style="671" customWidth="1"/>
    <col min="12804" max="12804" width="15.42578125" style="671" bestFit="1" customWidth="1"/>
    <col min="12805" max="12827" width="17.7109375" style="671" bestFit="1" customWidth="1"/>
    <col min="12828" max="12828" width="17.7109375" style="671" customWidth="1"/>
    <col min="12829" max="13056" width="11.42578125" style="671"/>
    <col min="13057" max="13057" width="7.7109375" style="671" customWidth="1"/>
    <col min="13058" max="13058" width="54.7109375" style="671" customWidth="1"/>
    <col min="13059" max="13059" width="58.28515625" style="671" customWidth="1"/>
    <col min="13060" max="13060" width="15.42578125" style="671" bestFit="1" customWidth="1"/>
    <col min="13061" max="13083" width="17.7109375" style="671" bestFit="1" customWidth="1"/>
    <col min="13084" max="13084" width="17.7109375" style="671" customWidth="1"/>
    <col min="13085" max="13312" width="11.42578125" style="671"/>
    <col min="13313" max="13313" width="7.7109375" style="671" customWidth="1"/>
    <col min="13314" max="13314" width="54.7109375" style="671" customWidth="1"/>
    <col min="13315" max="13315" width="58.28515625" style="671" customWidth="1"/>
    <col min="13316" max="13316" width="15.42578125" style="671" bestFit="1" customWidth="1"/>
    <col min="13317" max="13339" width="17.7109375" style="671" bestFit="1" customWidth="1"/>
    <col min="13340" max="13340" width="17.7109375" style="671" customWidth="1"/>
    <col min="13341" max="13568" width="11.42578125" style="671"/>
    <col min="13569" max="13569" width="7.7109375" style="671" customWidth="1"/>
    <col min="13570" max="13570" width="54.7109375" style="671" customWidth="1"/>
    <col min="13571" max="13571" width="58.28515625" style="671" customWidth="1"/>
    <col min="13572" max="13572" width="15.42578125" style="671" bestFit="1" customWidth="1"/>
    <col min="13573" max="13595" width="17.7109375" style="671" bestFit="1" customWidth="1"/>
    <col min="13596" max="13596" width="17.7109375" style="671" customWidth="1"/>
    <col min="13597" max="13824" width="11.42578125" style="671"/>
    <col min="13825" max="13825" width="7.7109375" style="671" customWidth="1"/>
    <col min="13826" max="13826" width="54.7109375" style="671" customWidth="1"/>
    <col min="13827" max="13827" width="58.28515625" style="671" customWidth="1"/>
    <col min="13828" max="13828" width="15.42578125" style="671" bestFit="1" customWidth="1"/>
    <col min="13829" max="13851" width="17.7109375" style="671" bestFit="1" customWidth="1"/>
    <col min="13852" max="13852" width="17.7109375" style="671" customWidth="1"/>
    <col min="13853" max="14080" width="11.42578125" style="671"/>
    <col min="14081" max="14081" width="7.7109375" style="671" customWidth="1"/>
    <col min="14082" max="14082" width="54.7109375" style="671" customWidth="1"/>
    <col min="14083" max="14083" width="58.28515625" style="671" customWidth="1"/>
    <col min="14084" max="14084" width="15.42578125" style="671" bestFit="1" customWidth="1"/>
    <col min="14085" max="14107" width="17.7109375" style="671" bestFit="1" customWidth="1"/>
    <col min="14108" max="14108" width="17.7109375" style="671" customWidth="1"/>
    <col min="14109" max="14336" width="11.42578125" style="671"/>
    <col min="14337" max="14337" width="7.7109375" style="671" customWidth="1"/>
    <col min="14338" max="14338" width="54.7109375" style="671" customWidth="1"/>
    <col min="14339" max="14339" width="58.28515625" style="671" customWidth="1"/>
    <col min="14340" max="14340" width="15.42578125" style="671" bestFit="1" customWidth="1"/>
    <col min="14341" max="14363" width="17.7109375" style="671" bestFit="1" customWidth="1"/>
    <col min="14364" max="14364" width="17.7109375" style="671" customWidth="1"/>
    <col min="14365" max="14592" width="11.42578125" style="671"/>
    <col min="14593" max="14593" width="7.7109375" style="671" customWidth="1"/>
    <col min="14594" max="14594" width="54.7109375" style="671" customWidth="1"/>
    <col min="14595" max="14595" width="58.28515625" style="671" customWidth="1"/>
    <col min="14596" max="14596" width="15.42578125" style="671" bestFit="1" customWidth="1"/>
    <col min="14597" max="14619" width="17.7109375" style="671" bestFit="1" customWidth="1"/>
    <col min="14620" max="14620" width="17.7109375" style="671" customWidth="1"/>
    <col min="14621" max="14848" width="11.42578125" style="671"/>
    <col min="14849" max="14849" width="7.7109375" style="671" customWidth="1"/>
    <col min="14850" max="14850" width="54.7109375" style="671" customWidth="1"/>
    <col min="14851" max="14851" width="58.28515625" style="671" customWidth="1"/>
    <col min="14852" max="14852" width="15.42578125" style="671" bestFit="1" customWidth="1"/>
    <col min="14853" max="14875" width="17.7109375" style="671" bestFit="1" customWidth="1"/>
    <col min="14876" max="14876" width="17.7109375" style="671" customWidth="1"/>
    <col min="14877" max="15104" width="11.42578125" style="671"/>
    <col min="15105" max="15105" width="7.7109375" style="671" customWidth="1"/>
    <col min="15106" max="15106" width="54.7109375" style="671" customWidth="1"/>
    <col min="15107" max="15107" width="58.28515625" style="671" customWidth="1"/>
    <col min="15108" max="15108" width="15.42578125" style="671" bestFit="1" customWidth="1"/>
    <col min="15109" max="15131" width="17.7109375" style="671" bestFit="1" customWidth="1"/>
    <col min="15132" max="15132" width="17.7109375" style="671" customWidth="1"/>
    <col min="15133" max="15360" width="11.42578125" style="671"/>
    <col min="15361" max="15361" width="7.7109375" style="671" customWidth="1"/>
    <col min="15362" max="15362" width="54.7109375" style="671" customWidth="1"/>
    <col min="15363" max="15363" width="58.28515625" style="671" customWidth="1"/>
    <col min="15364" max="15364" width="15.42578125" style="671" bestFit="1" customWidth="1"/>
    <col min="15365" max="15387" width="17.7109375" style="671" bestFit="1" customWidth="1"/>
    <col min="15388" max="15388" width="17.7109375" style="671" customWidth="1"/>
    <col min="15389" max="15616" width="11.42578125" style="671"/>
    <col min="15617" max="15617" width="7.7109375" style="671" customWidth="1"/>
    <col min="15618" max="15618" width="54.7109375" style="671" customWidth="1"/>
    <col min="15619" max="15619" width="58.28515625" style="671" customWidth="1"/>
    <col min="15620" max="15620" width="15.42578125" style="671" bestFit="1" customWidth="1"/>
    <col min="15621" max="15643" width="17.7109375" style="671" bestFit="1" customWidth="1"/>
    <col min="15644" max="15644" width="17.7109375" style="671" customWidth="1"/>
    <col min="15645" max="15872" width="11.42578125" style="671"/>
    <col min="15873" max="15873" width="7.7109375" style="671" customWidth="1"/>
    <col min="15874" max="15874" width="54.7109375" style="671" customWidth="1"/>
    <col min="15875" max="15875" width="58.28515625" style="671" customWidth="1"/>
    <col min="15876" max="15876" width="15.42578125" style="671" bestFit="1" customWidth="1"/>
    <col min="15877" max="15899" width="17.7109375" style="671" bestFit="1" customWidth="1"/>
    <col min="15900" max="15900" width="17.7109375" style="671" customWidth="1"/>
    <col min="15901" max="16128" width="11.42578125" style="671"/>
    <col min="16129" max="16129" width="7.7109375" style="671" customWidth="1"/>
    <col min="16130" max="16130" width="54.7109375" style="671" customWidth="1"/>
    <col min="16131" max="16131" width="58.28515625" style="671" customWidth="1"/>
    <col min="16132" max="16132" width="15.42578125" style="671" bestFit="1" customWidth="1"/>
    <col min="16133" max="16155" width="17.7109375" style="671" bestFit="1" customWidth="1"/>
    <col min="16156" max="16156" width="17.7109375" style="671" customWidth="1"/>
    <col min="16157" max="16384" width="11.42578125" style="671"/>
  </cols>
  <sheetData>
    <row r="1" spans="1:28" ht="21" x14ac:dyDescent="0.35">
      <c r="A1" s="1037" t="s">
        <v>323</v>
      </c>
    </row>
    <row r="2" spans="1:28" ht="21" x14ac:dyDescent="0.35">
      <c r="A2" s="1037"/>
      <c r="B2" s="1037" t="s">
        <v>1266</v>
      </c>
    </row>
    <row r="3" spans="1:28" ht="16.5" thickBot="1" x14ac:dyDescent="0.3">
      <c r="A3" s="1038" t="s">
        <v>238</v>
      </c>
      <c r="B3" s="1038"/>
      <c r="C3" s="1038"/>
      <c r="D3" s="1038"/>
      <c r="E3" s="289"/>
      <c r="F3" s="1039"/>
      <c r="G3" s="1040"/>
      <c r="H3" s="1041"/>
      <c r="I3" s="671"/>
      <c r="J3" s="671"/>
      <c r="K3" s="671"/>
      <c r="L3" s="671"/>
      <c r="M3" s="671"/>
      <c r="N3" s="671"/>
      <c r="O3" s="671"/>
    </row>
    <row r="4" spans="1:28" x14ac:dyDescent="0.25">
      <c r="A4" s="1042"/>
      <c r="B4" s="1043"/>
      <c r="C4" s="1043"/>
      <c r="D4" s="1088">
        <v>0</v>
      </c>
      <c r="E4" s="1088">
        <v>1</v>
      </c>
      <c r="F4" s="1088">
        <v>2</v>
      </c>
      <c r="G4" s="1088">
        <v>3</v>
      </c>
      <c r="H4" s="1088">
        <v>4</v>
      </c>
      <c r="I4" s="1088">
        <v>5</v>
      </c>
      <c r="J4" s="1088">
        <v>6</v>
      </c>
      <c r="K4" s="1088">
        <v>7</v>
      </c>
      <c r="L4" s="1088">
        <v>8</v>
      </c>
      <c r="M4" s="1088">
        <v>9</v>
      </c>
      <c r="N4" s="1088">
        <v>10</v>
      </c>
      <c r="O4" s="1088">
        <v>11</v>
      </c>
      <c r="P4" s="1088">
        <v>12</v>
      </c>
      <c r="Q4" s="1088">
        <v>13</v>
      </c>
      <c r="R4" s="1088">
        <v>14</v>
      </c>
      <c r="S4" s="1088">
        <v>15</v>
      </c>
      <c r="T4" s="1088">
        <v>16</v>
      </c>
      <c r="U4" s="1088">
        <v>17</v>
      </c>
      <c r="V4" s="1088">
        <v>18</v>
      </c>
      <c r="W4" s="1088">
        <v>19</v>
      </c>
      <c r="X4" s="1088">
        <v>20</v>
      </c>
      <c r="Y4" s="1088">
        <v>21</v>
      </c>
      <c r="Z4" s="1088">
        <v>22</v>
      </c>
      <c r="AA4" s="1088">
        <v>23</v>
      </c>
      <c r="AB4" s="1088">
        <v>24</v>
      </c>
    </row>
    <row r="5" spans="1:28" x14ac:dyDescent="0.25">
      <c r="A5" s="1384"/>
      <c r="B5" s="1385"/>
      <c r="C5" s="1385"/>
      <c r="D5" s="1386"/>
      <c r="E5" s="1386"/>
      <c r="F5" s="1386"/>
      <c r="G5" s="1386"/>
      <c r="H5" s="1386"/>
      <c r="I5" s="1386"/>
      <c r="J5" s="1386"/>
      <c r="K5" s="1386"/>
      <c r="L5" s="1386"/>
      <c r="M5" s="1386"/>
      <c r="N5" s="1386"/>
      <c r="O5" s="1386"/>
      <c r="P5" s="1386"/>
      <c r="Q5" s="1386"/>
      <c r="R5" s="1386"/>
      <c r="S5" s="1386"/>
      <c r="T5" s="1386"/>
      <c r="U5" s="1386"/>
      <c r="V5" s="1386"/>
      <c r="W5" s="1386"/>
      <c r="X5" s="1386"/>
      <c r="Y5" s="1386"/>
      <c r="Z5" s="1386"/>
      <c r="AA5" s="1386"/>
      <c r="AB5" s="1386"/>
    </row>
    <row r="6" spans="1:28" x14ac:dyDescent="0.25">
      <c r="A6" s="1387" t="s">
        <v>239</v>
      </c>
      <c r="B6" s="1388"/>
      <c r="C6" s="1388"/>
      <c r="D6" s="1389">
        <f>+' A16 S. NORTE '!I27</f>
        <v>5857.0269999999982</v>
      </c>
      <c r="E6" s="1390">
        <f>+D6</f>
        <v>5857.0269999999982</v>
      </c>
      <c r="F6" s="1390">
        <f t="shared" ref="F6:AB6" si="0">+E6</f>
        <v>5857.0269999999982</v>
      </c>
      <c r="G6" s="1390">
        <f t="shared" si="0"/>
        <v>5857.0269999999982</v>
      </c>
      <c r="H6" s="1390">
        <f t="shared" si="0"/>
        <v>5857.0269999999982</v>
      </c>
      <c r="I6" s="1390">
        <f t="shared" si="0"/>
        <v>5857.0269999999982</v>
      </c>
      <c r="J6" s="1390">
        <f t="shared" si="0"/>
        <v>5857.0269999999982</v>
      </c>
      <c r="K6" s="1390">
        <f t="shared" si="0"/>
        <v>5857.0269999999982</v>
      </c>
      <c r="L6" s="1390">
        <f t="shared" si="0"/>
        <v>5857.0269999999982</v>
      </c>
      <c r="M6" s="1390">
        <f t="shared" si="0"/>
        <v>5857.0269999999982</v>
      </c>
      <c r="N6" s="1390">
        <f t="shared" si="0"/>
        <v>5857.0269999999982</v>
      </c>
      <c r="O6" s="1390">
        <f t="shared" si="0"/>
        <v>5857.0269999999982</v>
      </c>
      <c r="P6" s="1390">
        <f t="shared" si="0"/>
        <v>5857.0269999999982</v>
      </c>
      <c r="Q6" s="1390">
        <f t="shared" si="0"/>
        <v>5857.0269999999982</v>
      </c>
      <c r="R6" s="1390">
        <f t="shared" si="0"/>
        <v>5857.0269999999982</v>
      </c>
      <c r="S6" s="1390">
        <f t="shared" si="0"/>
        <v>5857.0269999999982</v>
      </c>
      <c r="T6" s="1390">
        <f t="shared" si="0"/>
        <v>5857.0269999999982</v>
      </c>
      <c r="U6" s="1390">
        <f t="shared" si="0"/>
        <v>5857.0269999999982</v>
      </c>
      <c r="V6" s="1390">
        <f t="shared" si="0"/>
        <v>5857.0269999999982</v>
      </c>
      <c r="W6" s="1390">
        <f t="shared" si="0"/>
        <v>5857.0269999999982</v>
      </c>
      <c r="X6" s="1390">
        <f t="shared" si="0"/>
        <v>5857.0269999999982</v>
      </c>
      <c r="Y6" s="1390">
        <f t="shared" si="0"/>
        <v>5857.0269999999982</v>
      </c>
      <c r="Z6" s="1390">
        <f t="shared" si="0"/>
        <v>5857.0269999999982</v>
      </c>
      <c r="AA6" s="1390">
        <f t="shared" si="0"/>
        <v>5857.0269999999982</v>
      </c>
      <c r="AB6" s="1390">
        <f t="shared" si="0"/>
        <v>5857.0269999999982</v>
      </c>
    </row>
    <row r="7" spans="1:28" x14ac:dyDescent="0.25">
      <c r="A7" s="1047" t="s">
        <v>240</v>
      </c>
      <c r="B7" s="1048"/>
      <c r="C7" s="1048"/>
      <c r="D7" s="1049">
        <f>+' A16 S. NORTE '!J27</f>
        <v>15319.84175</v>
      </c>
      <c r="E7" s="1049">
        <f>+D7+' A16 S. NORTE '!G80</f>
        <v>15491.6721875</v>
      </c>
      <c r="F7" s="1049">
        <f>+E7+'[2]ANEXOS '!$G$50</f>
        <v>15663.502625000001</v>
      </c>
      <c r="G7" s="1049">
        <f>+F7+'[2]ANEXOS '!$G$50</f>
        <v>15835.333062500002</v>
      </c>
      <c r="H7" s="1049">
        <f>+G7+'[2]ANEXOS '!$G$50</f>
        <v>16007.163500000002</v>
      </c>
      <c r="I7" s="1049">
        <f>+H7+'[2]ANEXOS '!$G$50</f>
        <v>16178.993937500003</v>
      </c>
      <c r="J7" s="1049">
        <f>+I7+'[2]ANEXOS '!$G$50</f>
        <v>16350.824375000004</v>
      </c>
      <c r="K7" s="1049">
        <f>+J7+'[2]ANEXOS '!$G$50</f>
        <v>16522.654812500004</v>
      </c>
      <c r="L7" s="1049">
        <f>+K7+'[2]ANEXOS '!$G$50</f>
        <v>16694.485250000005</v>
      </c>
      <c r="M7" s="1049">
        <f>+L7+'[2]ANEXOS '!$G$50</f>
        <v>16866.315687500006</v>
      </c>
      <c r="N7" s="1049">
        <f>+M7+'[2]ANEXOS '!$G$50</f>
        <v>17038.146125000007</v>
      </c>
      <c r="O7" s="1049">
        <f>+N7+'[2]ANEXOS '!$G$50</f>
        <v>17209.976562500007</v>
      </c>
      <c r="P7" s="1049">
        <f>+O7+'[2]ANEXOS '!$G$50</f>
        <v>17381.807000000008</v>
      </c>
      <c r="Q7" s="1049">
        <f>+P7+'[2]ANEXOS '!$G$50</f>
        <v>17553.637437500009</v>
      </c>
      <c r="R7" s="1049">
        <f>+Q7+'[2]ANEXOS '!$G$50</f>
        <v>17725.467875000009</v>
      </c>
      <c r="S7" s="1049">
        <f>+R7+'[2]ANEXOS '!$G$50</f>
        <v>17897.29831250001</v>
      </c>
      <c r="T7" s="1049">
        <f>+S7+'[2]ANEXOS '!$G$50</f>
        <v>18069.128750000011</v>
      </c>
      <c r="U7" s="1049">
        <f>+T7+'[2]ANEXOS '!$G$50</f>
        <v>18240.959187500011</v>
      </c>
      <c r="V7" s="1049">
        <f>+U7+'[2]ANEXOS '!$G$50</f>
        <v>18412.789625000012</v>
      </c>
      <c r="W7" s="1049">
        <f>+V7+'[2]ANEXOS '!$G$50</f>
        <v>18584.620062500013</v>
      </c>
      <c r="X7" s="1049">
        <f>+W7+'[2]ANEXOS '!$G$50</f>
        <v>18756.450500000014</v>
      </c>
      <c r="Y7" s="1049">
        <f>+X7+'[2]ANEXOS '!$G$50</f>
        <v>18928.280937500014</v>
      </c>
      <c r="Z7" s="1049">
        <f>+Y7+'[2]ANEXOS '!$G$50</f>
        <v>19100.111375000015</v>
      </c>
      <c r="AA7" s="1049">
        <f>+Z7+'[2]ANEXOS '!$G$50</f>
        <v>19271.941812500016</v>
      </c>
      <c r="AB7" s="1049">
        <f>+AA7+'[2]ANEXOS '!$G$50</f>
        <v>19443.772250000016</v>
      </c>
    </row>
    <row r="8" spans="1:28" x14ac:dyDescent="0.25">
      <c r="A8" s="1051" t="s">
        <v>241</v>
      </c>
      <c r="B8" s="1052"/>
      <c r="C8" s="1052"/>
      <c r="D8" s="1053">
        <f>+' A16 S. NORTE '!K27</f>
        <v>8263.14</v>
      </c>
      <c r="E8" s="1053">
        <f>+D8+' A16 S. NORTE '!G79</f>
        <v>9355.9474999999984</v>
      </c>
      <c r="F8" s="1053">
        <f>+E8+'[2]ANEXOS '!$G$49</f>
        <v>10448.754999999997</v>
      </c>
      <c r="G8" s="1053">
        <f>+F8+'[2]ANEXOS '!$G$49</f>
        <v>11541.562499999996</v>
      </c>
      <c r="H8" s="1053">
        <f>+G8+'[2]ANEXOS '!$G$49</f>
        <v>12634.369999999995</v>
      </c>
      <c r="I8" s="1053">
        <f>+H8+'[2]ANEXOS '!$G$49</f>
        <v>13727.177499999994</v>
      </c>
      <c r="J8" s="1053">
        <f>+I8+'[2]ANEXOS '!$G$49</f>
        <v>14819.984999999993</v>
      </c>
      <c r="K8" s="1053">
        <f>+J8+'[2]ANEXOS '!$G$49</f>
        <v>15912.792499999992</v>
      </c>
      <c r="L8" s="1053">
        <f>+K8+'[2]ANEXOS '!$G$49</f>
        <v>17005.599999999991</v>
      </c>
      <c r="M8" s="1053">
        <f>+L8+'[2]ANEXOS '!$G$49</f>
        <v>18098.40749999999</v>
      </c>
      <c r="N8" s="1053">
        <f>+M8+'[2]ANEXOS '!$G$49</f>
        <v>19191.214999999989</v>
      </c>
      <c r="O8" s="1053">
        <f>+N8+'[2]ANEXOS '!$G$49</f>
        <v>20284.022499999988</v>
      </c>
      <c r="P8" s="1053">
        <f>+O8+'[2]ANEXOS '!$G$49</f>
        <v>21376.829999999987</v>
      </c>
      <c r="Q8" s="1053">
        <f>+P8+'[2]ANEXOS '!$G$49</f>
        <v>22469.637499999986</v>
      </c>
      <c r="R8" s="1053">
        <f>+Q8+'[2]ANEXOS '!$G$49</f>
        <v>23562.444999999985</v>
      </c>
      <c r="S8" s="1053">
        <f>+R8+'[2]ANEXOS '!$G$49</f>
        <v>24655.252499999984</v>
      </c>
      <c r="T8" s="1053">
        <f>+S8+'[2]ANEXOS '!$G$49</f>
        <v>25748.059999999983</v>
      </c>
      <c r="U8" s="1053">
        <f>+T8+'[2]ANEXOS '!$G$49</f>
        <v>26840.867499999982</v>
      </c>
      <c r="V8" s="1053">
        <f>+U8+'[2]ANEXOS '!$G$49</f>
        <v>27933.674999999981</v>
      </c>
      <c r="W8" s="1053">
        <f>+V8+'[2]ANEXOS '!$G$49</f>
        <v>29026.48249999998</v>
      </c>
      <c r="X8" s="1053">
        <f>+W8+'[2]ANEXOS '!$G$49</f>
        <v>30119.289999999979</v>
      </c>
      <c r="Y8" s="1053">
        <f>+X8+'[2]ANEXOS '!$G$49</f>
        <v>31212.097499999978</v>
      </c>
      <c r="Z8" s="1053">
        <f>+Y8+'[2]ANEXOS '!$G$49</f>
        <v>32304.904999999977</v>
      </c>
      <c r="AA8" s="1053">
        <f>+Z8+'[2]ANEXOS '!$G$49</f>
        <v>33397.71249999998</v>
      </c>
      <c r="AB8" s="1053">
        <f>+AA8+'[2]ANEXOS '!$G$49</f>
        <v>34490.519999999982</v>
      </c>
    </row>
    <row r="9" spans="1:28" x14ac:dyDescent="0.25">
      <c r="A9" s="1055" t="s">
        <v>242</v>
      </c>
      <c r="B9" s="1056"/>
      <c r="C9" s="1056"/>
      <c r="D9" s="1057">
        <v>0</v>
      </c>
      <c r="E9" s="1057">
        <f t="shared" ref="E9:AB9" si="1">-E21+D9</f>
        <v>-654.91632499999992</v>
      </c>
      <c r="F9" s="1057">
        <f t="shared" si="1"/>
        <v>-1309.8326499999998</v>
      </c>
      <c r="G9" s="1057">
        <f t="shared" si="1"/>
        <v>-1964.7489749999997</v>
      </c>
      <c r="H9" s="1057">
        <f t="shared" si="1"/>
        <v>-2619.6652999999997</v>
      </c>
      <c r="I9" s="1057">
        <f t="shared" si="1"/>
        <v>-3274.5816249999998</v>
      </c>
      <c r="J9" s="1057">
        <f t="shared" si="1"/>
        <v>-3929.4979499999999</v>
      </c>
      <c r="K9" s="1057">
        <f t="shared" si="1"/>
        <v>-4584.4142750000001</v>
      </c>
      <c r="L9" s="1057">
        <f t="shared" si="1"/>
        <v>-5239.3306000000002</v>
      </c>
      <c r="M9" s="1057">
        <f t="shared" si="1"/>
        <v>-5894.2469250000004</v>
      </c>
      <c r="N9" s="1057">
        <f t="shared" si="1"/>
        <v>-6549.1632500000005</v>
      </c>
      <c r="O9" s="1057">
        <f t="shared" si="1"/>
        <v>-7204.0795750000007</v>
      </c>
      <c r="P9" s="1057">
        <f t="shared" si="1"/>
        <v>-7858.9959000000008</v>
      </c>
      <c r="Q9" s="1057">
        <f t="shared" si="1"/>
        <v>-8513.912225</v>
      </c>
      <c r="R9" s="1057">
        <f t="shared" si="1"/>
        <v>-9168.8285500000002</v>
      </c>
      <c r="S9" s="1057">
        <f t="shared" si="1"/>
        <v>-9823.7448750000003</v>
      </c>
      <c r="T9" s="1057">
        <f t="shared" si="1"/>
        <v>-10478.6612</v>
      </c>
      <c r="U9" s="1057">
        <f t="shared" si="1"/>
        <v>-11133.577525000001</v>
      </c>
      <c r="V9" s="1057">
        <f t="shared" si="1"/>
        <v>-11788.493850000001</v>
      </c>
      <c r="W9" s="1057">
        <f t="shared" si="1"/>
        <v>-12443.410175000001</v>
      </c>
      <c r="X9" s="1057">
        <f t="shared" si="1"/>
        <v>-13098.326500000001</v>
      </c>
      <c r="Y9" s="1057">
        <f t="shared" si="1"/>
        <v>-13753.242825000001</v>
      </c>
      <c r="Z9" s="1057">
        <f t="shared" si="1"/>
        <v>-14408.159150000001</v>
      </c>
      <c r="AA9" s="1057">
        <f t="shared" si="1"/>
        <v>-15063.075475000001</v>
      </c>
      <c r="AB9" s="1057">
        <f t="shared" si="1"/>
        <v>-15717.991800000002</v>
      </c>
    </row>
    <row r="10" spans="1:28" x14ac:dyDescent="0.25">
      <c r="A10" s="1058" t="s">
        <v>243</v>
      </c>
      <c r="B10" s="1059"/>
      <c r="C10" s="1059"/>
      <c r="D10" s="1060">
        <f t="shared" ref="D10:X10" si="2">D8+D9</f>
        <v>8263.14</v>
      </c>
      <c r="E10" s="1060">
        <f t="shared" si="2"/>
        <v>8701.0311749999983</v>
      </c>
      <c r="F10" s="1060">
        <f t="shared" si="2"/>
        <v>9138.9223499999971</v>
      </c>
      <c r="G10" s="1060">
        <f t="shared" si="2"/>
        <v>9576.8135249999959</v>
      </c>
      <c r="H10" s="1060">
        <f t="shared" si="2"/>
        <v>10014.704699999995</v>
      </c>
      <c r="I10" s="1060">
        <f t="shared" si="2"/>
        <v>10452.595874999995</v>
      </c>
      <c r="J10" s="1060">
        <f t="shared" si="2"/>
        <v>10890.487049999992</v>
      </c>
      <c r="K10" s="1060">
        <f t="shared" si="2"/>
        <v>11328.378224999993</v>
      </c>
      <c r="L10" s="1060">
        <f t="shared" si="2"/>
        <v>11766.26939999999</v>
      </c>
      <c r="M10" s="1060">
        <f t="shared" si="2"/>
        <v>12204.160574999991</v>
      </c>
      <c r="N10" s="1060">
        <f t="shared" si="2"/>
        <v>12642.051749999988</v>
      </c>
      <c r="O10" s="1060">
        <f t="shared" si="2"/>
        <v>13079.942924999988</v>
      </c>
      <c r="P10" s="1060">
        <f t="shared" si="2"/>
        <v>13517.834099999985</v>
      </c>
      <c r="Q10" s="1060">
        <f t="shared" si="2"/>
        <v>13955.725274999986</v>
      </c>
      <c r="R10" s="1060">
        <f t="shared" si="2"/>
        <v>14393.616449999985</v>
      </c>
      <c r="S10" s="1060">
        <f t="shared" si="2"/>
        <v>14831.507624999984</v>
      </c>
      <c r="T10" s="1060">
        <f t="shared" si="2"/>
        <v>15269.398799999983</v>
      </c>
      <c r="U10" s="1060">
        <f t="shared" si="2"/>
        <v>15707.289974999981</v>
      </c>
      <c r="V10" s="1060">
        <f t="shared" si="2"/>
        <v>16145.18114999998</v>
      </c>
      <c r="W10" s="1060">
        <f t="shared" si="2"/>
        <v>16583.072324999979</v>
      </c>
      <c r="X10" s="1060">
        <f t="shared" si="2"/>
        <v>17020.963499999976</v>
      </c>
      <c r="Y10" s="1060">
        <f>Y8+Y9</f>
        <v>17458.854674999977</v>
      </c>
      <c r="Z10" s="1060">
        <f>Z8+Z9</f>
        <v>17896.745849999978</v>
      </c>
      <c r="AA10" s="1060">
        <f>AA8+AA9</f>
        <v>18334.637024999978</v>
      </c>
      <c r="AB10" s="1060">
        <f>AB8+AB9</f>
        <v>18772.528199999979</v>
      </c>
    </row>
    <row r="11" spans="1:28" x14ac:dyDescent="0.25">
      <c r="A11" s="1062" t="s">
        <v>244</v>
      </c>
      <c r="B11" s="1063"/>
      <c r="C11" s="1063"/>
      <c r="D11" s="1064">
        <f>+D7+D10+D6</f>
        <v>29440.008749999997</v>
      </c>
      <c r="E11" s="1064">
        <f t="shared" ref="E11:AB11" si="3">+E7+E10+E6</f>
        <v>30049.730362499995</v>
      </c>
      <c r="F11" s="1064">
        <f t="shared" si="3"/>
        <v>30659.451974999996</v>
      </c>
      <c r="G11" s="1064">
        <f t="shared" si="3"/>
        <v>31269.173587499998</v>
      </c>
      <c r="H11" s="1064">
        <f t="shared" si="3"/>
        <v>31878.895199999995</v>
      </c>
      <c r="I11" s="1064">
        <f t="shared" si="3"/>
        <v>32488.616812499997</v>
      </c>
      <c r="J11" s="1064">
        <f t="shared" si="3"/>
        <v>33098.338424999994</v>
      </c>
      <c r="K11" s="1064">
        <f t="shared" si="3"/>
        <v>33708.060037499992</v>
      </c>
      <c r="L11" s="1064">
        <f t="shared" si="3"/>
        <v>34317.78164999999</v>
      </c>
      <c r="M11" s="1064">
        <f t="shared" si="3"/>
        <v>34927.503262499995</v>
      </c>
      <c r="N11" s="1064">
        <f t="shared" si="3"/>
        <v>35537.224874999993</v>
      </c>
      <c r="O11" s="1064">
        <f t="shared" si="3"/>
        <v>36146.946487499998</v>
      </c>
      <c r="P11" s="1064">
        <f t="shared" si="3"/>
        <v>36756.668099999995</v>
      </c>
      <c r="Q11" s="1064">
        <f t="shared" si="3"/>
        <v>37366.389712499993</v>
      </c>
      <c r="R11" s="1064">
        <f t="shared" si="3"/>
        <v>37976.111324999991</v>
      </c>
      <c r="S11" s="1064">
        <f t="shared" si="3"/>
        <v>38585.832937499988</v>
      </c>
      <c r="T11" s="1064">
        <f t="shared" si="3"/>
        <v>39195.554549999986</v>
      </c>
      <c r="U11" s="1064">
        <f t="shared" si="3"/>
        <v>39805.276162499998</v>
      </c>
      <c r="V11" s="1064">
        <f t="shared" si="3"/>
        <v>40414.997774999996</v>
      </c>
      <c r="W11" s="1064">
        <f t="shared" si="3"/>
        <v>41024.719387499994</v>
      </c>
      <c r="X11" s="1064">
        <f t="shared" si="3"/>
        <v>41634.440999999992</v>
      </c>
      <c r="Y11" s="1064">
        <f t="shared" si="3"/>
        <v>42244.162612499989</v>
      </c>
      <c r="Z11" s="1064">
        <f t="shared" si="3"/>
        <v>42853.884224999987</v>
      </c>
      <c r="AA11" s="1064">
        <f t="shared" si="3"/>
        <v>43463.605837499999</v>
      </c>
      <c r="AB11" s="1064">
        <f t="shared" si="3"/>
        <v>44073.327449999997</v>
      </c>
    </row>
    <row r="12" spans="1:28" x14ac:dyDescent="0.25">
      <c r="A12" s="1066"/>
      <c r="B12" s="1067"/>
      <c r="C12" s="1067"/>
      <c r="D12" s="1068"/>
      <c r="E12" s="1068"/>
      <c r="F12" s="1068"/>
      <c r="G12" s="1068"/>
      <c r="H12" s="1068"/>
      <c r="I12" s="768"/>
      <c r="J12" s="768"/>
      <c r="K12" s="768"/>
      <c r="L12" s="768"/>
      <c r="M12" s="768"/>
      <c r="N12" s="768"/>
      <c r="O12" s="1068"/>
      <c r="P12" s="1068"/>
      <c r="Q12" s="1068"/>
      <c r="R12" s="1068"/>
      <c r="S12" s="768"/>
      <c r="T12" s="768"/>
      <c r="U12" s="768"/>
      <c r="V12" s="768"/>
      <c r="W12" s="768"/>
      <c r="X12" s="768"/>
      <c r="Y12" s="768"/>
      <c r="Z12" s="768"/>
      <c r="AA12" s="768"/>
      <c r="AB12" s="768"/>
    </row>
    <row r="13" spans="1:28" x14ac:dyDescent="0.25">
      <c r="A13" s="1069"/>
      <c r="B13" s="1070"/>
      <c r="C13" s="1070"/>
      <c r="D13" s="1071"/>
      <c r="E13" s="1071"/>
      <c r="F13" s="1071"/>
      <c r="G13" s="1071"/>
      <c r="H13" s="1071"/>
      <c r="I13" s="1072"/>
      <c r="J13" s="1391"/>
      <c r="K13" s="1391"/>
      <c r="L13" s="1391"/>
      <c r="M13" s="1391"/>
      <c r="N13" s="1391"/>
      <c r="O13" s="1071"/>
      <c r="P13" s="1071"/>
      <c r="Q13" s="1071"/>
      <c r="R13" s="1071"/>
      <c r="S13" s="1072"/>
      <c r="T13" s="1391"/>
      <c r="U13" s="1391"/>
      <c r="V13" s="1391"/>
      <c r="W13" s="1391"/>
      <c r="X13" s="1391"/>
      <c r="Y13" s="1391"/>
      <c r="Z13" s="1391"/>
      <c r="AA13" s="1391"/>
      <c r="AB13" s="1391"/>
    </row>
    <row r="14" spans="1:28" x14ac:dyDescent="0.25">
      <c r="A14" s="1074" t="s">
        <v>245</v>
      </c>
      <c r="B14" s="1075"/>
      <c r="C14" s="1075"/>
      <c r="D14" s="1076">
        <f>+' A16 S. NORTE '!M27</f>
        <v>10764.481</v>
      </c>
      <c r="E14" s="1076">
        <f>+D14+' A16 S. NORTE '!G81</f>
        <v>11140.85125</v>
      </c>
      <c r="F14" s="1076">
        <f>+E14+'[2]ANEXOS '!$G$51</f>
        <v>11517.2215</v>
      </c>
      <c r="G14" s="1076">
        <f>+F14+'[2]ANEXOS '!$G$51</f>
        <v>11893.59175</v>
      </c>
      <c r="H14" s="1076">
        <f>+G14+'[2]ANEXOS '!$G$51</f>
        <v>12269.962</v>
      </c>
      <c r="I14" s="1076">
        <f>+H14+'[2]ANEXOS '!$G$51</f>
        <v>12646.332249999999</v>
      </c>
      <c r="J14" s="1076">
        <f>+I14+'[2]ANEXOS '!$G$51</f>
        <v>13022.702499999999</v>
      </c>
      <c r="K14" s="1076">
        <f>+J14+'[2]ANEXOS '!$G$51</f>
        <v>13399.072749999999</v>
      </c>
      <c r="L14" s="1076">
        <f>+K14+'[2]ANEXOS '!$G$51</f>
        <v>13775.442999999999</v>
      </c>
      <c r="M14" s="1076">
        <f>+L14+'[2]ANEXOS '!$G$51</f>
        <v>14151.813249999999</v>
      </c>
      <c r="N14" s="1076">
        <f>+M14+'[2]ANEXOS '!$G$51</f>
        <v>14528.183499999999</v>
      </c>
      <c r="O14" s="1076">
        <f>+N14+'[2]ANEXOS '!$G$51</f>
        <v>14904.553749999999</v>
      </c>
      <c r="P14" s="1076">
        <f>+O14+'[2]ANEXOS '!$G$51</f>
        <v>15280.923999999999</v>
      </c>
      <c r="Q14" s="1076">
        <f>+P14+'[2]ANEXOS '!$G$51</f>
        <v>15657.294249999999</v>
      </c>
      <c r="R14" s="1076">
        <f>+Q14+'[2]ANEXOS '!$G$51</f>
        <v>16033.664499999999</v>
      </c>
      <c r="S14" s="1076">
        <f>+R14+'[2]ANEXOS '!$G$51</f>
        <v>16410.034749999999</v>
      </c>
      <c r="T14" s="1076">
        <f>+S14+'[2]ANEXOS '!$G$51</f>
        <v>16786.404999999999</v>
      </c>
      <c r="U14" s="1076">
        <f>+T14+'[2]ANEXOS '!$G$51</f>
        <v>17162.775249999999</v>
      </c>
      <c r="V14" s="1076">
        <f>+U14+'[2]ANEXOS '!$G$51</f>
        <v>17539.145499999999</v>
      </c>
      <c r="W14" s="1076">
        <f>+V14+'[2]ANEXOS '!$G$51</f>
        <v>17915.515749999999</v>
      </c>
      <c r="X14" s="1076">
        <f>+W14+'[2]ANEXOS '!$G$51</f>
        <v>18291.885999999999</v>
      </c>
      <c r="Y14" s="1076">
        <f>+X14+'[2]ANEXOS '!$G$51</f>
        <v>18668.256249999999</v>
      </c>
      <c r="Z14" s="1076">
        <f>+Y14+'[2]ANEXOS '!$G$51</f>
        <v>19044.626499999998</v>
      </c>
      <c r="AA14" s="1076">
        <f>+Z14+'[2]ANEXOS '!$G$51</f>
        <v>19420.996749999998</v>
      </c>
      <c r="AB14" s="1076">
        <f>+AA14+'[2]ANEXOS '!$G$51</f>
        <v>19797.366999999998</v>
      </c>
    </row>
    <row r="15" spans="1:28" x14ac:dyDescent="0.25">
      <c r="A15" s="1074" t="s">
        <v>246</v>
      </c>
      <c r="B15" s="1075"/>
      <c r="C15" s="1075"/>
      <c r="D15" s="1057">
        <f>+' A16 S. NORTE '!L27</f>
        <v>18675.5255</v>
      </c>
      <c r="E15" s="1057">
        <f t="shared" ref="E15:AB15" si="4">+E11-E14</f>
        <v>18908.879112499995</v>
      </c>
      <c r="F15" s="1057">
        <f t="shared" si="4"/>
        <v>19142.230474999997</v>
      </c>
      <c r="G15" s="1057">
        <f t="shared" si="4"/>
        <v>19375.581837499998</v>
      </c>
      <c r="H15" s="1057">
        <f t="shared" si="4"/>
        <v>19608.933199999996</v>
      </c>
      <c r="I15" s="1057">
        <f t="shared" si="4"/>
        <v>19842.284562499997</v>
      </c>
      <c r="J15" s="1057">
        <f t="shared" si="4"/>
        <v>20075.635924999995</v>
      </c>
      <c r="K15" s="1057">
        <f t="shared" si="4"/>
        <v>20308.987287499993</v>
      </c>
      <c r="L15" s="1057">
        <f t="shared" si="4"/>
        <v>20542.338649999991</v>
      </c>
      <c r="M15" s="1057">
        <f t="shared" si="4"/>
        <v>20775.690012499996</v>
      </c>
      <c r="N15" s="1057">
        <f t="shared" si="4"/>
        <v>21009.041374999993</v>
      </c>
      <c r="O15" s="1057">
        <f t="shared" si="4"/>
        <v>21242.392737499998</v>
      </c>
      <c r="P15" s="1057">
        <f t="shared" si="4"/>
        <v>21475.744099999996</v>
      </c>
      <c r="Q15" s="1057">
        <f t="shared" si="4"/>
        <v>21709.095462499994</v>
      </c>
      <c r="R15" s="1057">
        <f t="shared" si="4"/>
        <v>21942.446824999992</v>
      </c>
      <c r="S15" s="1057">
        <f t="shared" si="4"/>
        <v>22175.79818749999</v>
      </c>
      <c r="T15" s="1057">
        <f t="shared" si="4"/>
        <v>22409.149549999987</v>
      </c>
      <c r="U15" s="1057">
        <f t="shared" si="4"/>
        <v>22642.5009125</v>
      </c>
      <c r="V15" s="1057">
        <f t="shared" si="4"/>
        <v>22875.852274999997</v>
      </c>
      <c r="W15" s="1057">
        <f t="shared" si="4"/>
        <v>23109.203637499995</v>
      </c>
      <c r="X15" s="1057">
        <f t="shared" si="4"/>
        <v>23342.554999999993</v>
      </c>
      <c r="Y15" s="1057">
        <f t="shared" si="4"/>
        <v>23575.906362499991</v>
      </c>
      <c r="Z15" s="1057">
        <f t="shared" si="4"/>
        <v>23809.257724999989</v>
      </c>
      <c r="AA15" s="1057">
        <f t="shared" si="4"/>
        <v>24042.609087500001</v>
      </c>
      <c r="AB15" s="1057">
        <f t="shared" si="4"/>
        <v>24275.960449999999</v>
      </c>
    </row>
    <row r="16" spans="1:28" ht="16.5" thickBot="1" x14ac:dyDescent="0.3">
      <c r="A16" s="1078" t="s">
        <v>247</v>
      </c>
      <c r="B16" s="1079"/>
      <c r="C16" s="1079"/>
      <c r="D16" s="1080">
        <f t="shared" ref="D16:AB16" si="5">D13+D14+D15</f>
        <v>29440.0065</v>
      </c>
      <c r="E16" s="1080">
        <f t="shared" si="5"/>
        <v>30049.730362499995</v>
      </c>
      <c r="F16" s="1080">
        <f t="shared" si="5"/>
        <v>30659.451974999996</v>
      </c>
      <c r="G16" s="1080">
        <f t="shared" si="5"/>
        <v>31269.173587499998</v>
      </c>
      <c r="H16" s="1080">
        <f t="shared" si="5"/>
        <v>31878.895199999995</v>
      </c>
      <c r="I16" s="1080">
        <f t="shared" si="5"/>
        <v>32488.616812499997</v>
      </c>
      <c r="J16" s="1080">
        <f t="shared" si="5"/>
        <v>33098.338424999994</v>
      </c>
      <c r="K16" s="1080">
        <f t="shared" si="5"/>
        <v>33708.060037499992</v>
      </c>
      <c r="L16" s="1080">
        <f t="shared" si="5"/>
        <v>34317.78164999999</v>
      </c>
      <c r="M16" s="1080">
        <f t="shared" si="5"/>
        <v>34927.503262499995</v>
      </c>
      <c r="N16" s="1080">
        <f t="shared" si="5"/>
        <v>35537.224874999993</v>
      </c>
      <c r="O16" s="1080">
        <f t="shared" si="5"/>
        <v>36146.946487499998</v>
      </c>
      <c r="P16" s="1080">
        <f t="shared" si="5"/>
        <v>36756.668099999995</v>
      </c>
      <c r="Q16" s="1080">
        <f t="shared" si="5"/>
        <v>37366.389712499993</v>
      </c>
      <c r="R16" s="1080">
        <f t="shared" si="5"/>
        <v>37976.111324999991</v>
      </c>
      <c r="S16" s="1080">
        <f t="shared" si="5"/>
        <v>38585.832937499988</v>
      </c>
      <c r="T16" s="1080">
        <f t="shared" si="5"/>
        <v>39195.554549999986</v>
      </c>
      <c r="U16" s="1080">
        <f t="shared" si="5"/>
        <v>39805.276162499998</v>
      </c>
      <c r="V16" s="1080">
        <f t="shared" si="5"/>
        <v>40414.997774999996</v>
      </c>
      <c r="W16" s="1080">
        <f t="shared" si="5"/>
        <v>41024.719387499994</v>
      </c>
      <c r="X16" s="1080">
        <f t="shared" si="5"/>
        <v>41634.440999999992</v>
      </c>
      <c r="Y16" s="1080">
        <f t="shared" si="5"/>
        <v>42244.162612499989</v>
      </c>
      <c r="Z16" s="1080">
        <f t="shared" si="5"/>
        <v>42853.884224999987</v>
      </c>
      <c r="AA16" s="1080">
        <f t="shared" si="5"/>
        <v>43463.605837499999</v>
      </c>
      <c r="AB16" s="1080">
        <f t="shared" si="5"/>
        <v>44073.327449999997</v>
      </c>
    </row>
    <row r="17" spans="1:28" x14ac:dyDescent="0.25">
      <c r="A17" s="1067"/>
      <c r="B17" s="1041"/>
      <c r="C17" s="1041"/>
      <c r="D17" s="1068"/>
      <c r="E17" s="1083"/>
      <c r="F17" s="1083"/>
      <c r="G17" s="1083"/>
      <c r="H17" s="1083"/>
      <c r="I17" s="671"/>
      <c r="J17" s="671"/>
      <c r="K17" s="671"/>
      <c r="L17" s="671"/>
      <c r="M17" s="671"/>
      <c r="N17" s="671"/>
      <c r="O17" s="1083"/>
      <c r="P17" s="1083"/>
      <c r="Q17" s="1083"/>
      <c r="R17" s="1083"/>
    </row>
    <row r="18" spans="1:28" ht="16.5" thickBot="1" x14ac:dyDescent="0.3">
      <c r="A18" s="1067"/>
      <c r="B18" s="1067"/>
      <c r="C18" s="1392"/>
      <c r="D18" s="1068"/>
      <c r="E18" s="1083"/>
      <c r="F18" s="1083"/>
      <c r="G18" s="1083"/>
      <c r="H18" s="1083"/>
      <c r="I18" s="671"/>
      <c r="J18" s="671"/>
      <c r="K18" s="671"/>
      <c r="L18" s="671"/>
      <c r="M18" s="671"/>
      <c r="N18" s="671"/>
      <c r="O18" s="1083"/>
      <c r="P18" s="1083"/>
      <c r="Q18" s="1083"/>
      <c r="R18" s="1083"/>
    </row>
    <row r="19" spans="1:28" x14ac:dyDescent="0.25">
      <c r="A19" s="1084" t="s">
        <v>248</v>
      </c>
      <c r="B19" s="1085"/>
      <c r="C19" s="296"/>
      <c r="D19" s="1088">
        <v>0</v>
      </c>
      <c r="E19" s="1088">
        <v>1</v>
      </c>
      <c r="F19" s="1088">
        <v>2</v>
      </c>
      <c r="G19" s="1088">
        <v>3</v>
      </c>
      <c r="H19" s="1088">
        <v>4</v>
      </c>
      <c r="I19" s="1088">
        <v>5</v>
      </c>
      <c r="J19" s="1088">
        <v>6</v>
      </c>
      <c r="K19" s="1088">
        <v>7</v>
      </c>
      <c r="L19" s="1088">
        <v>8</v>
      </c>
      <c r="M19" s="1088">
        <v>9</v>
      </c>
      <c r="N19" s="1088">
        <v>10</v>
      </c>
      <c r="O19" s="1088">
        <v>11</v>
      </c>
      <c r="P19" s="1088">
        <v>12</v>
      </c>
      <c r="Q19" s="1088">
        <v>13</v>
      </c>
      <c r="R19" s="1088">
        <v>14</v>
      </c>
      <c r="S19" s="1088">
        <v>15</v>
      </c>
      <c r="T19" s="1088">
        <v>16</v>
      </c>
      <c r="U19" s="1088">
        <v>17</v>
      </c>
      <c r="V19" s="1088">
        <v>18</v>
      </c>
      <c r="W19" s="1088">
        <v>19</v>
      </c>
      <c r="X19" s="1088">
        <v>20</v>
      </c>
      <c r="Y19" s="1088">
        <v>21</v>
      </c>
      <c r="Z19" s="1088">
        <v>22</v>
      </c>
      <c r="AA19" s="1088">
        <v>23</v>
      </c>
      <c r="AB19" s="1088">
        <v>24</v>
      </c>
    </row>
    <row r="20" spans="1:28" x14ac:dyDescent="0.25">
      <c r="A20" s="860" t="s">
        <v>249</v>
      </c>
      <c r="B20" s="808"/>
      <c r="C20" s="808"/>
      <c r="D20" s="1090"/>
      <c r="E20" s="1057">
        <f>+' A16 S. NORTE '!G66+' A16 S. NORTE '!G65</f>
        <v>3443.8197500000001</v>
      </c>
      <c r="F20" s="1057">
        <f>+E20*(1+F29)</f>
        <v>3478.2579475000002</v>
      </c>
      <c r="G20" s="1057">
        <f t="shared" ref="G20:AB20" si="6">+F20*(1+G29)</f>
        <v>3513.0405269750004</v>
      </c>
      <c r="H20" s="1057">
        <f t="shared" si="6"/>
        <v>3548.1709322447505</v>
      </c>
      <c r="I20" s="1057">
        <f t="shared" si="6"/>
        <v>3583.6526415671979</v>
      </c>
      <c r="J20" s="1057">
        <f t="shared" si="6"/>
        <v>3619.4891679828697</v>
      </c>
      <c r="K20" s="1057">
        <f t="shared" si="6"/>
        <v>3655.6840596626985</v>
      </c>
      <c r="L20" s="1057">
        <f t="shared" si="6"/>
        <v>3692.2409002593254</v>
      </c>
      <c r="M20" s="1057">
        <f t="shared" si="6"/>
        <v>3729.1633092619186</v>
      </c>
      <c r="N20" s="1057">
        <f t="shared" si="6"/>
        <v>3766.4549423545377</v>
      </c>
      <c r="O20" s="1057">
        <f t="shared" si="6"/>
        <v>3804.1194917780831</v>
      </c>
      <c r="P20" s="1057">
        <f t="shared" si="6"/>
        <v>3842.1606866958641</v>
      </c>
      <c r="Q20" s="1057">
        <f t="shared" si="6"/>
        <v>3880.582293562823</v>
      </c>
      <c r="R20" s="1057">
        <f t="shared" si="6"/>
        <v>3919.3881164984514</v>
      </c>
      <c r="S20" s="1057">
        <f t="shared" si="6"/>
        <v>3958.5819976634361</v>
      </c>
      <c r="T20" s="1057">
        <f t="shared" si="6"/>
        <v>3998.1678176400706</v>
      </c>
      <c r="U20" s="1057">
        <f t="shared" si="6"/>
        <v>4038.1494958164712</v>
      </c>
      <c r="V20" s="1057">
        <f t="shared" si="6"/>
        <v>4078.5309907746359</v>
      </c>
      <c r="W20" s="1057">
        <f t="shared" si="6"/>
        <v>4119.3163006823825</v>
      </c>
      <c r="X20" s="1057">
        <f t="shared" si="6"/>
        <v>4160.5094636892063</v>
      </c>
      <c r="Y20" s="1057">
        <f t="shared" si="6"/>
        <v>4202.1145583260986</v>
      </c>
      <c r="Z20" s="1057">
        <f t="shared" si="6"/>
        <v>4244.13570390936</v>
      </c>
      <c r="AA20" s="1057">
        <f t="shared" si="6"/>
        <v>4286.5770609484534</v>
      </c>
      <c r="AB20" s="1057">
        <f t="shared" si="6"/>
        <v>4329.442831557938</v>
      </c>
    </row>
    <row r="21" spans="1:28" x14ac:dyDescent="0.25">
      <c r="A21" s="1074" t="s">
        <v>250</v>
      </c>
      <c r="B21" s="1093"/>
      <c r="C21" s="1093"/>
      <c r="D21" s="1094"/>
      <c r="E21" s="1076">
        <f>+E8*0.07</f>
        <v>654.91632499999992</v>
      </c>
      <c r="F21" s="1076">
        <f>+E21</f>
        <v>654.91632499999992</v>
      </c>
      <c r="G21" s="1076">
        <f t="shared" ref="G21:AB21" si="7">+F21</f>
        <v>654.91632499999992</v>
      </c>
      <c r="H21" s="1076">
        <f t="shared" si="7"/>
        <v>654.91632499999992</v>
      </c>
      <c r="I21" s="1076">
        <f t="shared" si="7"/>
        <v>654.91632499999992</v>
      </c>
      <c r="J21" s="1076">
        <f t="shared" si="7"/>
        <v>654.91632499999992</v>
      </c>
      <c r="K21" s="1076">
        <f t="shared" si="7"/>
        <v>654.91632499999992</v>
      </c>
      <c r="L21" s="1076">
        <f t="shared" si="7"/>
        <v>654.91632499999992</v>
      </c>
      <c r="M21" s="1076">
        <f t="shared" si="7"/>
        <v>654.91632499999992</v>
      </c>
      <c r="N21" s="1076">
        <f t="shared" si="7"/>
        <v>654.91632499999992</v>
      </c>
      <c r="O21" s="1076">
        <f t="shared" si="7"/>
        <v>654.91632499999992</v>
      </c>
      <c r="P21" s="1076">
        <f t="shared" si="7"/>
        <v>654.91632499999992</v>
      </c>
      <c r="Q21" s="1076">
        <f t="shared" si="7"/>
        <v>654.91632499999992</v>
      </c>
      <c r="R21" s="1076">
        <f t="shared" si="7"/>
        <v>654.91632499999992</v>
      </c>
      <c r="S21" s="1076">
        <f t="shared" si="7"/>
        <v>654.91632499999992</v>
      </c>
      <c r="T21" s="1076">
        <f t="shared" si="7"/>
        <v>654.91632499999992</v>
      </c>
      <c r="U21" s="1076">
        <f t="shared" si="7"/>
        <v>654.91632499999992</v>
      </c>
      <c r="V21" s="1076">
        <f t="shared" si="7"/>
        <v>654.91632499999992</v>
      </c>
      <c r="W21" s="1076">
        <f t="shared" si="7"/>
        <v>654.91632499999992</v>
      </c>
      <c r="X21" s="1076">
        <f t="shared" si="7"/>
        <v>654.91632499999992</v>
      </c>
      <c r="Y21" s="1076">
        <f t="shared" si="7"/>
        <v>654.91632499999992</v>
      </c>
      <c r="Z21" s="1076">
        <f t="shared" si="7"/>
        <v>654.91632499999992</v>
      </c>
      <c r="AA21" s="1076">
        <f t="shared" si="7"/>
        <v>654.91632499999992</v>
      </c>
      <c r="AB21" s="1076">
        <f t="shared" si="7"/>
        <v>654.91632499999992</v>
      </c>
    </row>
    <row r="22" spans="1:28" x14ac:dyDescent="0.25">
      <c r="A22" s="1095" t="s">
        <v>251</v>
      </c>
      <c r="B22" s="1096"/>
      <c r="C22" s="1096"/>
      <c r="D22" s="1097"/>
      <c r="E22" s="1098">
        <f t="shared" ref="E22:X22" si="8">+E20-E21</f>
        <v>2788.9034250000004</v>
      </c>
      <c r="F22" s="1098">
        <f t="shared" si="8"/>
        <v>2823.3416225000001</v>
      </c>
      <c r="G22" s="1098">
        <f t="shared" si="8"/>
        <v>2858.1242019750007</v>
      </c>
      <c r="H22" s="1098">
        <f t="shared" si="8"/>
        <v>2893.2546072447503</v>
      </c>
      <c r="I22" s="1098">
        <f t="shared" si="8"/>
        <v>2928.7363165671977</v>
      </c>
      <c r="J22" s="1098">
        <f t="shared" si="8"/>
        <v>2964.5728429828696</v>
      </c>
      <c r="K22" s="1098">
        <f t="shared" si="8"/>
        <v>3000.7677346626988</v>
      </c>
      <c r="L22" s="1098">
        <f t="shared" si="8"/>
        <v>3037.3245752593257</v>
      </c>
      <c r="M22" s="1098">
        <f t="shared" si="8"/>
        <v>3074.2469842619184</v>
      </c>
      <c r="N22" s="1098">
        <f t="shared" si="8"/>
        <v>3111.5386173545376</v>
      </c>
      <c r="O22" s="1098">
        <f t="shared" si="8"/>
        <v>3149.203166778083</v>
      </c>
      <c r="P22" s="1098">
        <f t="shared" si="8"/>
        <v>3187.2443616958644</v>
      </c>
      <c r="Q22" s="1098">
        <f t="shared" si="8"/>
        <v>3225.6659685628229</v>
      </c>
      <c r="R22" s="1098">
        <f t="shared" si="8"/>
        <v>3264.4717914984512</v>
      </c>
      <c r="S22" s="1098">
        <f t="shared" si="8"/>
        <v>3303.6656726634365</v>
      </c>
      <c r="T22" s="1098">
        <f t="shared" si="8"/>
        <v>3343.2514926400709</v>
      </c>
      <c r="U22" s="1098">
        <f t="shared" si="8"/>
        <v>3383.2331708164711</v>
      </c>
      <c r="V22" s="1098">
        <f t="shared" si="8"/>
        <v>3423.6146657746358</v>
      </c>
      <c r="W22" s="1098">
        <f t="shared" si="8"/>
        <v>3464.3999756823823</v>
      </c>
      <c r="X22" s="1098">
        <f t="shared" si="8"/>
        <v>3505.5931386892062</v>
      </c>
      <c r="Y22" s="1098">
        <f>+Y20-Y21</f>
        <v>3547.1982333260985</v>
      </c>
      <c r="Z22" s="1098">
        <f>+Z20-Z21</f>
        <v>3589.2193789093599</v>
      </c>
      <c r="AA22" s="1098">
        <f>+AA20-AA21</f>
        <v>3631.6607359484533</v>
      </c>
      <c r="AB22" s="1098">
        <f>+AB20-AB21</f>
        <v>3674.5265065579379</v>
      </c>
    </row>
    <row r="23" spans="1:28" x14ac:dyDescent="0.25">
      <c r="A23" s="860" t="s">
        <v>252</v>
      </c>
      <c r="B23" s="808"/>
      <c r="C23" s="808"/>
      <c r="D23" s="1100"/>
      <c r="E23" s="1076">
        <f>+((D14+E14)/2)*E31</f>
        <v>766.68662875000007</v>
      </c>
      <c r="F23" s="1076">
        <f t="shared" ref="F23:AB23" si="9">+(E14+F14)/2*F31</f>
        <v>793.03254625000011</v>
      </c>
      <c r="G23" s="1076">
        <f t="shared" si="9"/>
        <v>819.37846375000004</v>
      </c>
      <c r="H23" s="1076">
        <f t="shared" si="9"/>
        <v>845.72438125000008</v>
      </c>
      <c r="I23" s="1076">
        <f t="shared" si="9"/>
        <v>872.07029875000001</v>
      </c>
      <c r="J23" s="1076">
        <f t="shared" si="9"/>
        <v>898.41621625000005</v>
      </c>
      <c r="K23" s="1076">
        <f t="shared" si="9"/>
        <v>924.76213375000009</v>
      </c>
      <c r="L23" s="1076">
        <f t="shared" si="9"/>
        <v>951.10805125000002</v>
      </c>
      <c r="M23" s="1076">
        <f t="shared" si="9"/>
        <v>977.45396875000006</v>
      </c>
      <c r="N23" s="1076">
        <f t="shared" si="9"/>
        <v>1003.79988625</v>
      </c>
      <c r="O23" s="1076">
        <f t="shared" si="9"/>
        <v>1030.1458037500001</v>
      </c>
      <c r="P23" s="1076">
        <f t="shared" si="9"/>
        <v>1056.49172125</v>
      </c>
      <c r="Q23" s="1076">
        <f t="shared" si="9"/>
        <v>1082.83763875</v>
      </c>
      <c r="R23" s="1076">
        <f t="shared" si="9"/>
        <v>1109.18355625</v>
      </c>
      <c r="S23" s="1076">
        <f t="shared" si="9"/>
        <v>1135.5294737500001</v>
      </c>
      <c r="T23" s="1076">
        <f t="shared" si="9"/>
        <v>1161.8753912500001</v>
      </c>
      <c r="U23" s="1076">
        <f t="shared" si="9"/>
        <v>1188.2213087499999</v>
      </c>
      <c r="V23" s="1076">
        <f t="shared" si="9"/>
        <v>1214.56722625</v>
      </c>
      <c r="W23" s="1076">
        <f t="shared" si="9"/>
        <v>1240.91314375</v>
      </c>
      <c r="X23" s="1076">
        <f t="shared" si="9"/>
        <v>1267.2590612500001</v>
      </c>
      <c r="Y23" s="1076">
        <f t="shared" si="9"/>
        <v>1293.6049787500001</v>
      </c>
      <c r="Z23" s="1076">
        <f t="shared" si="9"/>
        <v>1319.9508962499999</v>
      </c>
      <c r="AA23" s="1076">
        <f t="shared" si="9"/>
        <v>1346.29681375</v>
      </c>
      <c r="AB23" s="1076">
        <f t="shared" si="9"/>
        <v>1372.64273125</v>
      </c>
    </row>
    <row r="24" spans="1:28" x14ac:dyDescent="0.25">
      <c r="A24" s="1104" t="s">
        <v>253</v>
      </c>
      <c r="B24" s="1105" t="s">
        <v>1267</v>
      </c>
      <c r="C24" s="1105"/>
      <c r="D24" s="1106"/>
      <c r="E24" s="1107">
        <f t="shared" ref="E24:X24" si="10">+E22-E23</f>
        <v>2022.2167962500002</v>
      </c>
      <c r="F24" s="1107">
        <f t="shared" si="10"/>
        <v>2030.3090762500001</v>
      </c>
      <c r="G24" s="1107">
        <f t="shared" si="10"/>
        <v>2038.7457382250007</v>
      </c>
      <c r="H24" s="1107">
        <f t="shared" si="10"/>
        <v>2047.5302259947503</v>
      </c>
      <c r="I24" s="1107">
        <f t="shared" si="10"/>
        <v>2056.6660178171978</v>
      </c>
      <c r="J24" s="1107">
        <f t="shared" si="10"/>
        <v>2066.1566267328694</v>
      </c>
      <c r="K24" s="1107">
        <f t="shared" si="10"/>
        <v>2076.0056009126988</v>
      </c>
      <c r="L24" s="1107">
        <f t="shared" si="10"/>
        <v>2086.2165240093254</v>
      </c>
      <c r="M24" s="1107">
        <f t="shared" si="10"/>
        <v>2096.7930155119184</v>
      </c>
      <c r="N24" s="1107">
        <f t="shared" si="10"/>
        <v>2107.7387311045377</v>
      </c>
      <c r="O24" s="1107">
        <f t="shared" si="10"/>
        <v>2119.0573630280828</v>
      </c>
      <c r="P24" s="1107">
        <f t="shared" si="10"/>
        <v>2130.7526404458645</v>
      </c>
      <c r="Q24" s="1107">
        <f t="shared" si="10"/>
        <v>2142.8283298128226</v>
      </c>
      <c r="R24" s="1107">
        <f t="shared" si="10"/>
        <v>2155.2882352484512</v>
      </c>
      <c r="S24" s="1107">
        <f t="shared" si="10"/>
        <v>2168.1361989134366</v>
      </c>
      <c r="T24" s="1107">
        <f t="shared" si="10"/>
        <v>2181.3761013900707</v>
      </c>
      <c r="U24" s="1107">
        <f t="shared" si="10"/>
        <v>2195.0118620664712</v>
      </c>
      <c r="V24" s="1107">
        <f t="shared" si="10"/>
        <v>2209.0474395246356</v>
      </c>
      <c r="W24" s="1107">
        <f t="shared" si="10"/>
        <v>2223.4868319323823</v>
      </c>
      <c r="X24" s="1107">
        <f t="shared" si="10"/>
        <v>2238.3340774392063</v>
      </c>
      <c r="Y24" s="1107">
        <f>+Y22-Y23</f>
        <v>2253.5932545760984</v>
      </c>
      <c r="Z24" s="1107">
        <f>+Z22-Z23</f>
        <v>2269.26848265936</v>
      </c>
      <c r="AA24" s="1107">
        <f>+AA22-AA23</f>
        <v>2285.3639221984531</v>
      </c>
      <c r="AB24" s="1107">
        <f>+AB22-AB23</f>
        <v>2301.8837753079379</v>
      </c>
    </row>
    <row r="25" spans="1:28" x14ac:dyDescent="0.25">
      <c r="A25" s="860" t="s">
        <v>254</v>
      </c>
      <c r="B25" s="808"/>
      <c r="C25" s="808"/>
      <c r="D25" s="1100"/>
      <c r="E25" s="1076">
        <f t="shared" ref="E25:N25" si="11">E24*E30</f>
        <v>707.77587868750004</v>
      </c>
      <c r="F25" s="1076">
        <f t="shared" si="11"/>
        <v>710.60817668749996</v>
      </c>
      <c r="G25" s="1076">
        <f t="shared" si="11"/>
        <v>713.56100837875022</v>
      </c>
      <c r="H25" s="1076">
        <f t="shared" si="11"/>
        <v>716.63557909816257</v>
      </c>
      <c r="I25" s="1076">
        <f t="shared" si="11"/>
        <v>719.83310623601915</v>
      </c>
      <c r="J25" s="1076">
        <f t="shared" si="11"/>
        <v>723.15481935650428</v>
      </c>
      <c r="K25" s="1076">
        <f t="shared" si="11"/>
        <v>726.60196031944452</v>
      </c>
      <c r="L25" s="1076">
        <f t="shared" si="11"/>
        <v>730.17578340326384</v>
      </c>
      <c r="M25" s="1076">
        <f t="shared" si="11"/>
        <v>733.87755542917137</v>
      </c>
      <c r="N25" s="1076">
        <f t="shared" si="11"/>
        <v>737.7085558865881</v>
      </c>
      <c r="O25" s="1393">
        <f t="shared" ref="O25:AB25" si="12">+N25*(1+O$29)</f>
        <v>745.08564144545403</v>
      </c>
      <c r="P25" s="1393">
        <f t="shared" si="12"/>
        <v>752.53649785990854</v>
      </c>
      <c r="Q25" s="1393">
        <f t="shared" si="12"/>
        <v>760.06186283850764</v>
      </c>
      <c r="R25" s="1393">
        <f t="shared" si="12"/>
        <v>767.6624814668927</v>
      </c>
      <c r="S25" s="1393">
        <f t="shared" si="12"/>
        <v>775.33910628156161</v>
      </c>
      <c r="T25" s="1393">
        <f t="shared" si="12"/>
        <v>783.09249734437719</v>
      </c>
      <c r="U25" s="1393">
        <f t="shared" si="12"/>
        <v>790.92342231782095</v>
      </c>
      <c r="V25" s="1393">
        <f t="shared" si="12"/>
        <v>798.83265654099921</v>
      </c>
      <c r="W25" s="1393">
        <f t="shared" si="12"/>
        <v>806.82098310640924</v>
      </c>
      <c r="X25" s="1393">
        <f t="shared" si="12"/>
        <v>814.88919293747335</v>
      </c>
      <c r="Y25" s="1393">
        <f t="shared" si="12"/>
        <v>823.03808486684807</v>
      </c>
      <c r="Z25" s="1393">
        <f t="shared" si="12"/>
        <v>831.26846571551653</v>
      </c>
      <c r="AA25" s="1393">
        <f t="shared" si="12"/>
        <v>839.58115037267169</v>
      </c>
      <c r="AB25" s="1393">
        <f t="shared" si="12"/>
        <v>847.97696187639838</v>
      </c>
    </row>
    <row r="26" spans="1:28" x14ac:dyDescent="0.25">
      <c r="A26" s="1394" t="s">
        <v>255</v>
      </c>
      <c r="B26" s="1395"/>
      <c r="C26" s="1395"/>
      <c r="D26" s="1396"/>
      <c r="E26" s="1397">
        <f t="shared" ref="E26:X26" si="13">E24-E25</f>
        <v>1314.4409175625001</v>
      </c>
      <c r="F26" s="1397">
        <f t="shared" si="13"/>
        <v>1319.7008995625001</v>
      </c>
      <c r="G26" s="1397">
        <f t="shared" si="13"/>
        <v>1325.1847298462503</v>
      </c>
      <c r="H26" s="1397">
        <f t="shared" si="13"/>
        <v>1330.8946468965878</v>
      </c>
      <c r="I26" s="1398">
        <f t="shared" si="13"/>
        <v>1336.8329115811787</v>
      </c>
      <c r="J26" s="1398">
        <f t="shared" si="13"/>
        <v>1343.0018073763652</v>
      </c>
      <c r="K26" s="1398">
        <f t="shared" si="13"/>
        <v>1349.4036405932543</v>
      </c>
      <c r="L26" s="1398">
        <f t="shared" si="13"/>
        <v>1356.0407406060617</v>
      </c>
      <c r="M26" s="1398">
        <f t="shared" si="13"/>
        <v>1362.9154600827469</v>
      </c>
      <c r="N26" s="1398">
        <f t="shared" si="13"/>
        <v>1370.0301752179496</v>
      </c>
      <c r="O26" s="1397">
        <f t="shared" si="13"/>
        <v>1373.9717215826288</v>
      </c>
      <c r="P26" s="1397">
        <f t="shared" si="13"/>
        <v>1378.2161425859558</v>
      </c>
      <c r="Q26" s="1397">
        <f t="shared" si="13"/>
        <v>1382.7664669743149</v>
      </c>
      <c r="R26" s="1397">
        <f t="shared" si="13"/>
        <v>1387.6257537815586</v>
      </c>
      <c r="S26" s="1398">
        <f t="shared" si="13"/>
        <v>1392.7970926318749</v>
      </c>
      <c r="T26" s="1398">
        <f t="shared" si="13"/>
        <v>1398.2836040456937</v>
      </c>
      <c r="U26" s="1398">
        <f t="shared" si="13"/>
        <v>1404.0884397486502</v>
      </c>
      <c r="V26" s="1398">
        <f t="shared" si="13"/>
        <v>1410.2147829836363</v>
      </c>
      <c r="W26" s="1398">
        <f t="shared" si="13"/>
        <v>1416.6658488259732</v>
      </c>
      <c r="X26" s="1398">
        <f t="shared" si="13"/>
        <v>1423.444884501733</v>
      </c>
      <c r="Y26" s="1398">
        <f>Y24-Y25</f>
        <v>1430.5551697092503</v>
      </c>
      <c r="Z26" s="1398">
        <f>Z24-Z25</f>
        <v>1438.0000169438435</v>
      </c>
      <c r="AA26" s="1398">
        <f>AA24-AA25</f>
        <v>1445.7827718257813</v>
      </c>
      <c r="AB26" s="1398">
        <f>AB24-AB25</f>
        <v>1453.9068134315394</v>
      </c>
    </row>
    <row r="28" spans="1:28" x14ac:dyDescent="0.25">
      <c r="A28" s="768"/>
      <c r="B28" s="768"/>
      <c r="C28" s="768"/>
      <c r="D28" s="1088">
        <v>0</v>
      </c>
      <c r="E28" s="1088">
        <v>1</v>
      </c>
      <c r="F28" s="1088">
        <v>2</v>
      </c>
      <c r="G28" s="1088">
        <v>3</v>
      </c>
      <c r="H28" s="1088">
        <v>4</v>
      </c>
      <c r="I28" s="1088">
        <v>5</v>
      </c>
      <c r="J28" s="1088">
        <v>6</v>
      </c>
      <c r="K28" s="1088">
        <v>7</v>
      </c>
      <c r="L28" s="1088">
        <v>8</v>
      </c>
      <c r="M28" s="1088">
        <v>9</v>
      </c>
      <c r="N28" s="1088">
        <v>10</v>
      </c>
      <c r="O28" s="1088">
        <v>11</v>
      </c>
      <c r="P28" s="1088">
        <v>12</v>
      </c>
      <c r="Q28" s="1088">
        <v>13</v>
      </c>
      <c r="R28" s="1088">
        <v>14</v>
      </c>
      <c r="S28" s="1088">
        <v>15</v>
      </c>
      <c r="T28" s="1088">
        <v>16</v>
      </c>
      <c r="U28" s="1088">
        <v>17</v>
      </c>
      <c r="V28" s="1088">
        <v>18</v>
      </c>
      <c r="W28" s="1088">
        <v>19</v>
      </c>
      <c r="X28" s="1088">
        <v>20</v>
      </c>
      <c r="Y28" s="1088">
        <v>21</v>
      </c>
      <c r="Z28" s="1088">
        <v>22</v>
      </c>
      <c r="AA28" s="1088">
        <v>23</v>
      </c>
      <c r="AB28" s="1088">
        <v>24</v>
      </c>
    </row>
    <row r="29" spans="1:28" x14ac:dyDescent="0.25">
      <c r="A29" s="1399" t="s">
        <v>256</v>
      </c>
      <c r="B29" s="1399" t="s">
        <v>257</v>
      </c>
      <c r="C29" s="1399"/>
      <c r="D29" s="1400">
        <v>0.01</v>
      </c>
      <c r="E29" s="1400">
        <v>0.01</v>
      </c>
      <c r="F29" s="1400">
        <v>0.01</v>
      </c>
      <c r="G29" s="1400">
        <v>0.01</v>
      </c>
      <c r="H29" s="1400">
        <v>0.01</v>
      </c>
      <c r="I29" s="1400">
        <v>0.01</v>
      </c>
      <c r="J29" s="1400">
        <v>0.01</v>
      </c>
      <c r="K29" s="1400">
        <v>0.01</v>
      </c>
      <c r="L29" s="1400">
        <v>0.01</v>
      </c>
      <c r="M29" s="1400">
        <v>0.01</v>
      </c>
      <c r="N29" s="1400">
        <v>0.01</v>
      </c>
      <c r="O29" s="1400">
        <v>0.01</v>
      </c>
      <c r="P29" s="1400">
        <v>0.01</v>
      </c>
      <c r="Q29" s="1400">
        <v>0.01</v>
      </c>
      <c r="R29" s="1400">
        <v>0.01</v>
      </c>
      <c r="S29" s="1400">
        <v>0.01</v>
      </c>
      <c r="T29" s="1400">
        <v>0.01</v>
      </c>
      <c r="U29" s="1400">
        <v>0.01</v>
      </c>
      <c r="V29" s="1400">
        <v>0.01</v>
      </c>
      <c r="W29" s="1400">
        <v>0.01</v>
      </c>
      <c r="X29" s="1400">
        <v>0.01</v>
      </c>
      <c r="Y29" s="1400">
        <v>0.01</v>
      </c>
      <c r="Z29" s="1400">
        <v>0.01</v>
      </c>
      <c r="AA29" s="1400">
        <v>0.01</v>
      </c>
      <c r="AB29" s="1400">
        <v>0.01</v>
      </c>
    </row>
    <row r="30" spans="1:28" x14ac:dyDescent="0.25">
      <c r="A30" s="1399" t="s">
        <v>258</v>
      </c>
      <c r="B30" s="1399" t="s">
        <v>259</v>
      </c>
      <c r="C30" s="1399"/>
      <c r="D30" s="1401">
        <v>0.35</v>
      </c>
      <c r="E30" s="1401">
        <v>0.35</v>
      </c>
      <c r="F30" s="1401">
        <v>0.35</v>
      </c>
      <c r="G30" s="1401">
        <v>0.35</v>
      </c>
      <c r="H30" s="1401">
        <v>0.35</v>
      </c>
      <c r="I30" s="1401">
        <v>0.35</v>
      </c>
      <c r="J30" s="1401">
        <v>0.35</v>
      </c>
      <c r="K30" s="1401">
        <v>0.35</v>
      </c>
      <c r="L30" s="1401">
        <v>0.35</v>
      </c>
      <c r="M30" s="1401">
        <v>0.35</v>
      </c>
      <c r="N30" s="1401">
        <v>0.35</v>
      </c>
      <c r="O30" s="1401">
        <v>0.35</v>
      </c>
      <c r="P30" s="1401">
        <v>0.35</v>
      </c>
      <c r="Q30" s="1401">
        <v>0.35</v>
      </c>
      <c r="R30" s="1401">
        <v>0.35</v>
      </c>
      <c r="S30" s="1401">
        <v>0.35</v>
      </c>
      <c r="T30" s="1401">
        <v>0.35</v>
      </c>
      <c r="U30" s="1401">
        <v>0.35</v>
      </c>
      <c r="V30" s="1401">
        <v>0.35</v>
      </c>
      <c r="W30" s="1401">
        <v>0.35</v>
      </c>
      <c r="X30" s="1401">
        <v>0.35</v>
      </c>
      <c r="Y30" s="1401">
        <v>0.35</v>
      </c>
      <c r="Z30" s="1401">
        <v>0.35</v>
      </c>
      <c r="AA30" s="1401">
        <v>0.35</v>
      </c>
      <c r="AB30" s="1401">
        <v>0.35</v>
      </c>
    </row>
    <row r="31" spans="1:28" x14ac:dyDescent="0.25">
      <c r="A31" s="1399" t="s">
        <v>260</v>
      </c>
      <c r="B31" s="1399" t="s">
        <v>261</v>
      </c>
      <c r="C31" s="1399"/>
      <c r="D31" s="1400">
        <v>7.0000000000000007E-2</v>
      </c>
      <c r="E31" s="1400">
        <v>7.0000000000000007E-2</v>
      </c>
      <c r="F31" s="1400">
        <v>7.0000000000000007E-2</v>
      </c>
      <c r="G31" s="1400">
        <v>7.0000000000000007E-2</v>
      </c>
      <c r="H31" s="1400">
        <v>7.0000000000000007E-2</v>
      </c>
      <c r="I31" s="1400">
        <v>7.0000000000000007E-2</v>
      </c>
      <c r="J31" s="1400">
        <v>7.0000000000000007E-2</v>
      </c>
      <c r="K31" s="1400">
        <v>7.0000000000000007E-2</v>
      </c>
      <c r="L31" s="1400">
        <v>7.0000000000000007E-2</v>
      </c>
      <c r="M31" s="1400">
        <v>7.0000000000000007E-2</v>
      </c>
      <c r="N31" s="1400">
        <v>7.0000000000000007E-2</v>
      </c>
      <c r="O31" s="1400">
        <v>7.0000000000000007E-2</v>
      </c>
      <c r="P31" s="1400">
        <v>7.0000000000000007E-2</v>
      </c>
      <c r="Q31" s="1400">
        <v>7.0000000000000007E-2</v>
      </c>
      <c r="R31" s="1400">
        <v>7.0000000000000007E-2</v>
      </c>
      <c r="S31" s="1400">
        <v>7.0000000000000007E-2</v>
      </c>
      <c r="T31" s="1400">
        <v>7.0000000000000007E-2</v>
      </c>
      <c r="U31" s="1400">
        <v>7.0000000000000007E-2</v>
      </c>
      <c r="V31" s="1400">
        <v>7.0000000000000007E-2</v>
      </c>
      <c r="W31" s="1400">
        <v>7.0000000000000007E-2</v>
      </c>
      <c r="X31" s="1400">
        <v>7.0000000000000007E-2</v>
      </c>
      <c r="Y31" s="1400">
        <v>7.0000000000000007E-2</v>
      </c>
      <c r="Z31" s="1400">
        <v>7.0000000000000007E-2</v>
      </c>
      <c r="AA31" s="1400">
        <v>7.0000000000000007E-2</v>
      </c>
      <c r="AB31" s="1400">
        <v>7.0000000000000007E-2</v>
      </c>
    </row>
    <row r="32" spans="1:28" x14ac:dyDescent="0.25">
      <c r="A32" s="1399" t="s">
        <v>262</v>
      </c>
      <c r="B32" s="1399" t="s">
        <v>263</v>
      </c>
      <c r="C32" s="1399"/>
      <c r="D32" s="1400">
        <v>0.04</v>
      </c>
      <c r="E32" s="1400">
        <v>0.04</v>
      </c>
      <c r="F32" s="1400">
        <v>0.04</v>
      </c>
      <c r="G32" s="1400">
        <v>0.04</v>
      </c>
      <c r="H32" s="1400">
        <v>0.04</v>
      </c>
      <c r="I32" s="1400">
        <v>0.04</v>
      </c>
      <c r="J32" s="1400">
        <v>0.04</v>
      </c>
      <c r="K32" s="1400">
        <v>0.04</v>
      </c>
      <c r="L32" s="1400">
        <v>0.04</v>
      </c>
      <c r="M32" s="1400">
        <v>0.04</v>
      </c>
      <c r="N32" s="1400">
        <v>0.04</v>
      </c>
      <c r="O32" s="1400">
        <v>0.04</v>
      </c>
      <c r="P32" s="1400">
        <v>0.04</v>
      </c>
      <c r="Q32" s="1400">
        <v>0.04</v>
      </c>
      <c r="R32" s="1400">
        <v>0.04</v>
      </c>
      <c r="S32" s="1400">
        <v>0.04</v>
      </c>
      <c r="T32" s="1400">
        <v>0.04</v>
      </c>
      <c r="U32" s="1400">
        <v>0.04</v>
      </c>
      <c r="V32" s="1400">
        <v>0.04</v>
      </c>
      <c r="W32" s="1400">
        <v>0.04</v>
      </c>
      <c r="X32" s="1400">
        <v>0.04</v>
      </c>
      <c r="Y32" s="1400">
        <v>0.04</v>
      </c>
      <c r="Z32" s="1400">
        <v>0.04</v>
      </c>
      <c r="AA32" s="1400">
        <v>0.04</v>
      </c>
      <c r="AB32" s="1400">
        <v>0.04</v>
      </c>
    </row>
    <row r="33" spans="1:28" x14ac:dyDescent="0.25">
      <c r="A33" s="1399" t="s">
        <v>264</v>
      </c>
      <c r="B33" s="1399" t="s">
        <v>265</v>
      </c>
      <c r="C33" s="1399"/>
      <c r="D33" s="1400">
        <v>0.08</v>
      </c>
      <c r="E33" s="1400">
        <v>0.08</v>
      </c>
      <c r="F33" s="1400">
        <v>0.08</v>
      </c>
      <c r="G33" s="1400">
        <v>0.08</v>
      </c>
      <c r="H33" s="1400">
        <v>0.08</v>
      </c>
      <c r="I33" s="1400">
        <v>0.08</v>
      </c>
      <c r="J33" s="1400">
        <v>0.08</v>
      </c>
      <c r="K33" s="1400">
        <v>0.08</v>
      </c>
      <c r="L33" s="1400">
        <v>0.08</v>
      </c>
      <c r="M33" s="1400">
        <v>0.08</v>
      </c>
      <c r="N33" s="1400">
        <v>0.08</v>
      </c>
      <c r="O33" s="1400">
        <v>0.08</v>
      </c>
      <c r="P33" s="1400">
        <v>0.08</v>
      </c>
      <c r="Q33" s="1400">
        <v>0.08</v>
      </c>
      <c r="R33" s="1400">
        <v>0.08</v>
      </c>
      <c r="S33" s="1400">
        <v>0.08</v>
      </c>
      <c r="T33" s="1400">
        <v>0.08</v>
      </c>
      <c r="U33" s="1400">
        <v>0.08</v>
      </c>
      <c r="V33" s="1400">
        <v>0.08</v>
      </c>
      <c r="W33" s="1400">
        <v>0.08</v>
      </c>
      <c r="X33" s="1400">
        <v>0.08</v>
      </c>
      <c r="Y33" s="1400">
        <v>0.08</v>
      </c>
      <c r="Z33" s="1400">
        <v>0.08</v>
      </c>
      <c r="AA33" s="1400">
        <v>0.08</v>
      </c>
      <c r="AB33" s="1400">
        <v>0.08</v>
      </c>
    </row>
    <row r="34" spans="1:28" x14ac:dyDescent="0.25">
      <c r="A34" s="1399" t="s">
        <v>266</v>
      </c>
      <c r="B34" s="1399" t="s">
        <v>267</v>
      </c>
      <c r="C34" s="1399"/>
      <c r="D34" s="1402">
        <v>0.9</v>
      </c>
      <c r="E34" s="1402">
        <v>0.9</v>
      </c>
      <c r="F34" s="1402">
        <v>0.9</v>
      </c>
      <c r="G34" s="1402">
        <v>0.9</v>
      </c>
      <c r="H34" s="1402">
        <v>0.9</v>
      </c>
      <c r="I34" s="1402">
        <v>0.9</v>
      </c>
      <c r="J34" s="1402">
        <v>0.9</v>
      </c>
      <c r="K34" s="1402">
        <v>0.9</v>
      </c>
      <c r="L34" s="1402">
        <v>0.9</v>
      </c>
      <c r="M34" s="1402">
        <v>0.9</v>
      </c>
      <c r="N34" s="1402">
        <v>0.9</v>
      </c>
      <c r="O34" s="1402">
        <v>0.9</v>
      </c>
      <c r="P34" s="1402">
        <v>0.9</v>
      </c>
      <c r="Q34" s="1402">
        <v>0.9</v>
      </c>
      <c r="R34" s="1402">
        <v>0.9</v>
      </c>
      <c r="S34" s="1402">
        <v>0.9</v>
      </c>
      <c r="T34" s="1402">
        <v>0.9</v>
      </c>
      <c r="U34" s="1402">
        <v>0.9</v>
      </c>
      <c r="V34" s="1402">
        <v>0.9</v>
      </c>
      <c r="W34" s="1402">
        <v>0.9</v>
      </c>
      <c r="X34" s="1402">
        <v>0.9</v>
      </c>
      <c r="Y34" s="1402">
        <v>0.9</v>
      </c>
      <c r="Z34" s="1402">
        <v>0.9</v>
      </c>
      <c r="AA34" s="1402">
        <v>0.9</v>
      </c>
      <c r="AB34" s="1402">
        <v>0.9</v>
      </c>
    </row>
    <row r="35" spans="1:28" x14ac:dyDescent="0.25">
      <c r="A35" s="1399" t="s">
        <v>268</v>
      </c>
      <c r="B35" s="1399" t="s">
        <v>269</v>
      </c>
      <c r="C35" s="1399" t="s">
        <v>324</v>
      </c>
      <c r="D35" s="1400">
        <v>7.0000000000000007E-2</v>
      </c>
      <c r="E35" s="1400">
        <v>7.0000000000000007E-2</v>
      </c>
      <c r="F35" s="1400">
        <v>7.0000000000000007E-2</v>
      </c>
      <c r="G35" s="1400">
        <v>7.0000000000000007E-2</v>
      </c>
      <c r="H35" s="1400">
        <v>7.0000000000000007E-2</v>
      </c>
      <c r="I35" s="1400">
        <v>7.0000000000000007E-2</v>
      </c>
      <c r="J35" s="1400">
        <v>7.0000000000000007E-2</v>
      </c>
      <c r="K35" s="1400">
        <v>7.0000000000000007E-2</v>
      </c>
      <c r="L35" s="1400">
        <v>7.0000000000000007E-2</v>
      </c>
      <c r="M35" s="1400">
        <v>7.0000000000000007E-2</v>
      </c>
      <c r="N35" s="1400">
        <v>7.0000000000000007E-2</v>
      </c>
      <c r="O35" s="1400">
        <v>7.0000000000000007E-2</v>
      </c>
      <c r="P35" s="1400">
        <v>7.0000000000000007E-2</v>
      </c>
      <c r="Q35" s="1400">
        <v>7.0000000000000007E-2</v>
      </c>
      <c r="R35" s="1400">
        <v>7.0000000000000007E-2</v>
      </c>
      <c r="S35" s="1400">
        <v>7.0000000000000007E-2</v>
      </c>
      <c r="T35" s="1400">
        <v>7.0000000000000007E-2</v>
      </c>
      <c r="U35" s="1400">
        <v>7.0000000000000007E-2</v>
      </c>
      <c r="V35" s="1400">
        <v>7.0000000000000007E-2</v>
      </c>
      <c r="W35" s="1400">
        <v>7.0000000000000007E-2</v>
      </c>
      <c r="X35" s="1400">
        <v>7.0000000000000007E-2</v>
      </c>
      <c r="Y35" s="1400">
        <v>7.0000000000000007E-2</v>
      </c>
      <c r="Z35" s="1400">
        <v>7.0000000000000007E-2</v>
      </c>
      <c r="AA35" s="1400">
        <v>7.0000000000000007E-2</v>
      </c>
      <c r="AB35" s="1400">
        <v>7.0000000000000007E-2</v>
      </c>
    </row>
    <row r="36" spans="1:28" x14ac:dyDescent="0.25">
      <c r="A36" s="707" t="s">
        <v>270</v>
      </c>
      <c r="B36" s="707" t="s">
        <v>271</v>
      </c>
      <c r="C36" s="1403" t="s">
        <v>325</v>
      </c>
      <c r="D36" s="1403">
        <f t="shared" ref="D36:AB36" si="14">+(D31-D32)/D33</f>
        <v>0.37500000000000006</v>
      </c>
      <c r="E36" s="1403">
        <f t="shared" si="14"/>
        <v>0.37500000000000006</v>
      </c>
      <c r="F36" s="1403">
        <f t="shared" si="14"/>
        <v>0.37500000000000006</v>
      </c>
      <c r="G36" s="1403">
        <f t="shared" si="14"/>
        <v>0.37500000000000006</v>
      </c>
      <c r="H36" s="1403">
        <f t="shared" si="14"/>
        <v>0.37500000000000006</v>
      </c>
      <c r="I36" s="1403">
        <f t="shared" si="14"/>
        <v>0.37500000000000006</v>
      </c>
      <c r="J36" s="1403">
        <f t="shared" si="14"/>
        <v>0.37500000000000006</v>
      </c>
      <c r="K36" s="1403">
        <f t="shared" si="14"/>
        <v>0.37500000000000006</v>
      </c>
      <c r="L36" s="1403">
        <f t="shared" si="14"/>
        <v>0.37500000000000006</v>
      </c>
      <c r="M36" s="1403">
        <f t="shared" si="14"/>
        <v>0.37500000000000006</v>
      </c>
      <c r="N36" s="1403">
        <f t="shared" si="14"/>
        <v>0.37500000000000006</v>
      </c>
      <c r="O36" s="1403">
        <f t="shared" si="14"/>
        <v>0.37500000000000006</v>
      </c>
      <c r="P36" s="1403">
        <f t="shared" si="14"/>
        <v>0.37500000000000006</v>
      </c>
      <c r="Q36" s="1403">
        <f t="shared" si="14"/>
        <v>0.37500000000000006</v>
      </c>
      <c r="R36" s="1403">
        <f t="shared" ref="R36:AA41" si="15">+Q36</f>
        <v>0.37500000000000006</v>
      </c>
      <c r="S36" s="1403">
        <f t="shared" si="14"/>
        <v>0.37500000000000006</v>
      </c>
      <c r="T36" s="1403">
        <f t="shared" si="14"/>
        <v>0.37500000000000006</v>
      </c>
      <c r="U36" s="1403">
        <f t="shared" si="14"/>
        <v>0.37500000000000006</v>
      </c>
      <c r="V36" s="1403">
        <f t="shared" si="14"/>
        <v>0.37500000000000006</v>
      </c>
      <c r="W36" s="1403">
        <f t="shared" si="14"/>
        <v>0.37500000000000006</v>
      </c>
      <c r="X36" s="1403">
        <f t="shared" si="14"/>
        <v>0.37500000000000006</v>
      </c>
      <c r="Y36" s="1403">
        <f t="shared" si="14"/>
        <v>0.37500000000000006</v>
      </c>
      <c r="Z36" s="1403">
        <f t="shared" si="14"/>
        <v>0.37500000000000006</v>
      </c>
      <c r="AA36" s="1403">
        <f t="shared" si="14"/>
        <v>0.37500000000000006</v>
      </c>
      <c r="AB36" s="1403">
        <f t="shared" si="14"/>
        <v>0.37500000000000006</v>
      </c>
    </row>
    <row r="37" spans="1:28" x14ac:dyDescent="0.25">
      <c r="A37" s="707" t="s">
        <v>272</v>
      </c>
      <c r="B37" s="707" t="s">
        <v>273</v>
      </c>
      <c r="C37" s="1377" t="s">
        <v>326</v>
      </c>
      <c r="D37" s="1377">
        <f>+D32+(D33*D34)</f>
        <v>0.11200000000000002</v>
      </c>
      <c r="E37" s="1377">
        <f t="shared" ref="E37:Q37" si="16">+E32+(E33*E34)</f>
        <v>0.11200000000000002</v>
      </c>
      <c r="F37" s="1377">
        <f t="shared" si="16"/>
        <v>0.11200000000000002</v>
      </c>
      <c r="G37" s="1377">
        <f t="shared" si="16"/>
        <v>0.11200000000000002</v>
      </c>
      <c r="H37" s="1377">
        <f t="shared" si="16"/>
        <v>0.11200000000000002</v>
      </c>
      <c r="I37" s="1377">
        <f t="shared" si="16"/>
        <v>0.11200000000000002</v>
      </c>
      <c r="J37" s="1377">
        <f t="shared" si="16"/>
        <v>0.11200000000000002</v>
      </c>
      <c r="K37" s="1377">
        <f t="shared" si="16"/>
        <v>0.11200000000000002</v>
      </c>
      <c r="L37" s="1377">
        <f t="shared" si="16"/>
        <v>0.11200000000000002</v>
      </c>
      <c r="M37" s="1377">
        <f t="shared" si="16"/>
        <v>0.11200000000000002</v>
      </c>
      <c r="N37" s="1377">
        <f t="shared" si="16"/>
        <v>0.11200000000000002</v>
      </c>
      <c r="O37" s="1377">
        <f t="shared" si="16"/>
        <v>0.11200000000000002</v>
      </c>
      <c r="P37" s="1377">
        <f t="shared" si="16"/>
        <v>0.11200000000000002</v>
      </c>
      <c r="Q37" s="1377">
        <f t="shared" si="16"/>
        <v>0.11200000000000002</v>
      </c>
      <c r="R37" s="1377">
        <f t="shared" si="15"/>
        <v>0.11200000000000002</v>
      </c>
      <c r="S37" s="1377">
        <f t="shared" si="15"/>
        <v>0.11200000000000002</v>
      </c>
      <c r="T37" s="1377">
        <f t="shared" si="15"/>
        <v>0.11200000000000002</v>
      </c>
      <c r="U37" s="1377">
        <f t="shared" si="15"/>
        <v>0.11200000000000002</v>
      </c>
      <c r="V37" s="1377">
        <f t="shared" si="15"/>
        <v>0.11200000000000002</v>
      </c>
      <c r="W37" s="1377">
        <f t="shared" si="15"/>
        <v>0.11200000000000002</v>
      </c>
      <c r="X37" s="1377">
        <f t="shared" si="15"/>
        <v>0.11200000000000002</v>
      </c>
      <c r="Y37" s="1377">
        <f t="shared" si="15"/>
        <v>0.11200000000000002</v>
      </c>
      <c r="Z37" s="1377">
        <f t="shared" si="15"/>
        <v>0.11200000000000002</v>
      </c>
      <c r="AA37" s="1377">
        <f t="shared" si="15"/>
        <v>0.11200000000000002</v>
      </c>
      <c r="AB37" s="1377">
        <f>+AB32+(AB33*AB34)</f>
        <v>0.11200000000000002</v>
      </c>
    </row>
    <row r="38" spans="1:28" x14ac:dyDescent="0.25">
      <c r="A38" s="707" t="s">
        <v>274</v>
      </c>
      <c r="B38" s="707" t="s">
        <v>275</v>
      </c>
      <c r="C38" s="1404" t="s">
        <v>327</v>
      </c>
      <c r="D38" s="1404">
        <f t="shared" ref="D38:Q38" si="17">+((D34*(D14*(1-D30)+D76)/D76)-(D36*D14*(1-D30)/D76))</f>
        <v>1.4800879043636754</v>
      </c>
      <c r="E38" s="1404">
        <f t="shared" si="17"/>
        <v>1.5023404905693862</v>
      </c>
      <c r="F38" s="1404">
        <f t="shared" si="17"/>
        <v>1.5245217571296541</v>
      </c>
      <c r="G38" s="1404">
        <f t="shared" si="17"/>
        <v>1.5466055463202684</v>
      </c>
      <c r="H38" s="1404">
        <f t="shared" si="17"/>
        <v>1.5685652830581025</v>
      </c>
      <c r="I38" s="1404">
        <f t="shared" si="17"/>
        <v>1.5903740639821233</v>
      </c>
      <c r="J38" s="1404">
        <f t="shared" si="17"/>
        <v>1.6120047515243363</v>
      </c>
      <c r="K38" s="1404">
        <f t="shared" si="17"/>
        <v>1.6334300724056461</v>
      </c>
      <c r="L38" s="1404">
        <f t="shared" si="17"/>
        <v>1.6546227199189538</v>
      </c>
      <c r="M38" s="1404">
        <f t="shared" si="17"/>
        <v>1.6755554592946051</v>
      </c>
      <c r="N38" s="1404">
        <f t="shared" si="17"/>
        <v>1.6962012353830422</v>
      </c>
      <c r="O38" s="1404">
        <f t="shared" si="17"/>
        <v>1.7165332818375318</v>
      </c>
      <c r="P38" s="1404">
        <f t="shared" si="17"/>
        <v>1.7365252309374912</v>
      </c>
      <c r="Q38" s="1404">
        <f t="shared" si="17"/>
        <v>1.7561512231612264</v>
      </c>
      <c r="R38" s="1404">
        <f t="shared" si="15"/>
        <v>1.7561512231612264</v>
      </c>
      <c r="S38" s="1404">
        <f t="shared" si="15"/>
        <v>1.7561512231612264</v>
      </c>
      <c r="T38" s="1404">
        <f t="shared" si="15"/>
        <v>1.7561512231612264</v>
      </c>
      <c r="U38" s="1404">
        <f t="shared" si="15"/>
        <v>1.7561512231612264</v>
      </c>
      <c r="V38" s="1404">
        <f t="shared" si="15"/>
        <v>1.7561512231612264</v>
      </c>
      <c r="W38" s="1404">
        <f t="shared" si="15"/>
        <v>1.7561512231612264</v>
      </c>
      <c r="X38" s="1404">
        <f t="shared" si="15"/>
        <v>1.7561512231612264</v>
      </c>
      <c r="Y38" s="1404">
        <f t="shared" si="15"/>
        <v>1.7561512231612264</v>
      </c>
      <c r="Z38" s="1404">
        <f t="shared" si="15"/>
        <v>1.7561512231612264</v>
      </c>
      <c r="AA38" s="1404">
        <f t="shared" si="15"/>
        <v>1.7561512231612264</v>
      </c>
    </row>
    <row r="39" spans="1:28" x14ac:dyDescent="0.25">
      <c r="A39" s="707" t="s">
        <v>276</v>
      </c>
      <c r="B39" s="707" t="s">
        <v>277</v>
      </c>
      <c r="C39" s="1377" t="s">
        <v>328</v>
      </c>
      <c r="D39" s="1377">
        <f>+D32+(D38*D33)</f>
        <v>0.15840703234909403</v>
      </c>
      <c r="E39" s="1377">
        <f t="shared" ref="E39:Q39" si="18">+E32+(E38*E33)</f>
        <v>0.16018723924555089</v>
      </c>
      <c r="F39" s="1377">
        <f t="shared" si="18"/>
        <v>0.16196174057037233</v>
      </c>
      <c r="G39" s="1377">
        <f t="shared" si="18"/>
        <v>0.16372844370562148</v>
      </c>
      <c r="H39" s="1377">
        <f t="shared" si="18"/>
        <v>0.16548522264464821</v>
      </c>
      <c r="I39" s="1377">
        <f t="shared" si="18"/>
        <v>0.16722992511856988</v>
      </c>
      <c r="J39" s="1377">
        <f t="shared" si="18"/>
        <v>0.16896038012194692</v>
      </c>
      <c r="K39" s="1377">
        <f t="shared" si="18"/>
        <v>0.17067440579245169</v>
      </c>
      <c r="L39" s="1377">
        <f t="shared" si="18"/>
        <v>0.17236981759351633</v>
      </c>
      <c r="M39" s="1377">
        <f t="shared" si="18"/>
        <v>0.17404443674356843</v>
      </c>
      <c r="N39" s="1377">
        <f t="shared" si="18"/>
        <v>0.17569609883064338</v>
      </c>
      <c r="O39" s="1377">
        <f t="shared" si="18"/>
        <v>0.17732266254700255</v>
      </c>
      <c r="P39" s="1377">
        <f t="shared" si="18"/>
        <v>0.17892201847499931</v>
      </c>
      <c r="Q39" s="1377">
        <f t="shared" si="18"/>
        <v>0.18049209785289813</v>
      </c>
      <c r="R39" s="1377">
        <f t="shared" si="15"/>
        <v>0.18049209785289813</v>
      </c>
      <c r="S39" s="1377">
        <f t="shared" si="15"/>
        <v>0.18049209785289813</v>
      </c>
      <c r="T39" s="1377">
        <f t="shared" si="15"/>
        <v>0.18049209785289813</v>
      </c>
      <c r="U39" s="1377">
        <f t="shared" si="15"/>
        <v>0.18049209785289813</v>
      </c>
      <c r="V39" s="1377">
        <f t="shared" si="15"/>
        <v>0.18049209785289813</v>
      </c>
      <c r="W39" s="1377">
        <f t="shared" si="15"/>
        <v>0.18049209785289813</v>
      </c>
      <c r="X39" s="1377">
        <f t="shared" si="15"/>
        <v>0.18049209785289813</v>
      </c>
      <c r="Y39" s="1377">
        <f t="shared" si="15"/>
        <v>0.18049209785289813</v>
      </c>
      <c r="Z39" s="1377">
        <f t="shared" si="15"/>
        <v>0.18049209785289813</v>
      </c>
      <c r="AA39" s="1377">
        <f t="shared" si="15"/>
        <v>0.18049209785289813</v>
      </c>
    </row>
    <row r="40" spans="1:28" x14ac:dyDescent="0.25">
      <c r="A40" s="707" t="s">
        <v>278</v>
      </c>
      <c r="B40" s="707"/>
      <c r="C40" s="1405" t="s">
        <v>329</v>
      </c>
      <c r="D40" s="1405"/>
      <c r="E40" s="1405">
        <f>+(D76/(D76+D14)*E39)+(D14/(D76+D14)*E31*(1-E30))</f>
        <v>8.797846550888877E-2</v>
      </c>
      <c r="F40" s="1405">
        <f t="shared" ref="F40:Q40" si="19">+(E76/(E76+E14)*F39)+(E14/(E76+E14)*F31*(1-F30))</f>
        <v>8.7618450076428711E-2</v>
      </c>
      <c r="G40" s="1405">
        <f t="shared" si="19"/>
        <v>8.7275353355178914E-2</v>
      </c>
      <c r="H40" s="1405">
        <f t="shared" si="19"/>
        <v>8.6948324484288131E-2</v>
      </c>
      <c r="I40" s="1405">
        <f t="shared" si="19"/>
        <v>8.6636569869404365E-2</v>
      </c>
      <c r="J40" s="1405">
        <f t="shared" si="19"/>
        <v>8.6339348545231745E-2</v>
      </c>
      <c r="K40" s="1405">
        <f t="shared" si="19"/>
        <v>8.6055967979117326E-2</v>
      </c>
      <c r="L40" s="1405">
        <f t="shared" si="19"/>
        <v>8.5785780266562611E-2</v>
      </c>
      <c r="M40" s="1405">
        <f t="shared" si="19"/>
        <v>8.5528178675701366E-2</v>
      </c>
      <c r="N40" s="1405">
        <f t="shared" si="19"/>
        <v>8.5282594503092321E-2</v>
      </c>
      <c r="O40" s="1405">
        <f t="shared" si="19"/>
        <v>8.5048494207767833E-2</v>
      </c>
      <c r="P40" s="1405">
        <f t="shared" si="19"/>
        <v>8.4825376794465279E-2</v>
      </c>
      <c r="Q40" s="1405">
        <f t="shared" si="19"/>
        <v>8.4612771420429361E-2</v>
      </c>
      <c r="R40" s="1405">
        <f t="shared" si="15"/>
        <v>8.4612771420429361E-2</v>
      </c>
      <c r="S40" s="1405">
        <f t="shared" si="15"/>
        <v>8.4612771420429361E-2</v>
      </c>
      <c r="T40" s="1405">
        <f t="shared" si="15"/>
        <v>8.4612771420429361E-2</v>
      </c>
      <c r="U40" s="1405">
        <f t="shared" si="15"/>
        <v>8.4612771420429361E-2</v>
      </c>
      <c r="V40" s="1405">
        <f t="shared" si="15"/>
        <v>8.4612771420429361E-2</v>
      </c>
      <c r="W40" s="1405">
        <f t="shared" si="15"/>
        <v>8.4612771420429361E-2</v>
      </c>
      <c r="X40" s="1405">
        <f t="shared" si="15"/>
        <v>8.4612771420429361E-2</v>
      </c>
      <c r="Y40" s="1405">
        <f t="shared" si="15"/>
        <v>8.4612771420429361E-2</v>
      </c>
      <c r="Z40" s="1405">
        <f t="shared" si="15"/>
        <v>8.4612771420429361E-2</v>
      </c>
      <c r="AA40" s="1405">
        <f t="shared" si="15"/>
        <v>8.4612771420429361E-2</v>
      </c>
    </row>
    <row r="41" spans="1:28" x14ac:dyDescent="0.25">
      <c r="A41" s="707" t="s">
        <v>279</v>
      </c>
      <c r="B41" s="707"/>
      <c r="C41" s="1405" t="s">
        <v>330</v>
      </c>
      <c r="D41" s="1405"/>
      <c r="E41" s="1405">
        <f>+(D76/(D76+D14)*E39)+(D14/(D76+D14)*E31)</f>
        <v>0.10340402608725845</v>
      </c>
      <c r="F41" s="1405">
        <f t="shared" ref="F41:Q41" si="20">+(E76/(E76+E14)*F39)+(E14/(E76+E14)*F31)</f>
        <v>0.10325801211784458</v>
      </c>
      <c r="G41" s="1405">
        <f t="shared" si="20"/>
        <v>0.10311841662216821</v>
      </c>
      <c r="H41" s="1405">
        <f t="shared" si="20"/>
        <v>0.1029849160121253</v>
      </c>
      <c r="I41" s="1405">
        <f t="shared" si="20"/>
        <v>0.10285720913851815</v>
      </c>
      <c r="J41" s="1405">
        <f t="shared" si="20"/>
        <v>0.10273501549223224</v>
      </c>
      <c r="K41" s="1405">
        <f t="shared" si="20"/>
        <v>0.10261807357332425</v>
      </c>
      <c r="L41" s="1405">
        <f t="shared" si="20"/>
        <v>0.10250613940908869</v>
      </c>
      <c r="M41" s="1405">
        <f t="shared" si="20"/>
        <v>0.10239898520456694</v>
      </c>
      <c r="N41" s="1405">
        <f t="shared" si="20"/>
        <v>0.10229639811103607</v>
      </c>
      <c r="O41" s="1405">
        <f t="shared" si="20"/>
        <v>0.10219817909981113</v>
      </c>
      <c r="P41" s="1405">
        <f t="shared" si="20"/>
        <v>0.1021041419302593</v>
      </c>
      <c r="Q41" s="1405">
        <f t="shared" si="20"/>
        <v>0.10201411220228204</v>
      </c>
      <c r="R41" s="1405">
        <f t="shared" si="15"/>
        <v>0.10201411220228204</v>
      </c>
      <c r="S41" s="1405">
        <f t="shared" si="15"/>
        <v>0.10201411220228204</v>
      </c>
      <c r="T41" s="1405">
        <f t="shared" si="15"/>
        <v>0.10201411220228204</v>
      </c>
      <c r="U41" s="1405">
        <f t="shared" si="15"/>
        <v>0.10201411220228204</v>
      </c>
      <c r="V41" s="1405">
        <f t="shared" si="15"/>
        <v>0.10201411220228204</v>
      </c>
      <c r="W41" s="1405">
        <f t="shared" si="15"/>
        <v>0.10201411220228204</v>
      </c>
      <c r="X41" s="1405">
        <f t="shared" si="15"/>
        <v>0.10201411220228204</v>
      </c>
      <c r="Y41" s="1405">
        <f t="shared" si="15"/>
        <v>0.10201411220228204</v>
      </c>
      <c r="Z41" s="1405">
        <f t="shared" si="15"/>
        <v>0.10201411220228204</v>
      </c>
      <c r="AA41" s="1405">
        <f t="shared" si="15"/>
        <v>0.10201411220228204</v>
      </c>
    </row>
    <row r="42" spans="1:28" x14ac:dyDescent="0.25">
      <c r="A42" s="707"/>
      <c r="B42" s="707"/>
      <c r="C42" s="707"/>
      <c r="D42" s="1405"/>
      <c r="E42" s="1405"/>
      <c r="F42" s="1405"/>
      <c r="G42" s="1405"/>
      <c r="H42" s="1405"/>
      <c r="I42" s="1405"/>
      <c r="J42" s="1405"/>
      <c r="K42" s="1405"/>
      <c r="L42" s="1405"/>
      <c r="M42" s="1405"/>
      <c r="N42" s="1405"/>
      <c r="O42" s="1405"/>
      <c r="P42" s="1405"/>
      <c r="Q42" s="1405"/>
      <c r="R42" s="1405"/>
      <c r="S42" s="1405"/>
      <c r="T42" s="1405"/>
      <c r="U42" s="1405"/>
      <c r="V42" s="1405"/>
      <c r="W42" s="1405"/>
      <c r="X42" s="1405"/>
      <c r="Y42" s="1405"/>
      <c r="Z42" s="1405"/>
      <c r="AA42" s="1405"/>
    </row>
    <row r="43" spans="1:28" ht="16.5" thickBot="1" x14ac:dyDescent="0.3">
      <c r="A43" s="707"/>
      <c r="B43" s="707"/>
      <c r="C43" s="707"/>
      <c r="D43" s="707"/>
      <c r="E43" s="1406"/>
      <c r="F43" s="1378"/>
      <c r="G43" s="1378"/>
      <c r="H43" s="1378"/>
      <c r="I43" s="1378"/>
      <c r="J43" s="1378"/>
      <c r="K43" s="1378"/>
      <c r="L43" s="1378"/>
      <c r="M43" s="1378"/>
      <c r="N43" s="1378"/>
      <c r="O43" s="1378"/>
      <c r="P43" s="1378"/>
    </row>
    <row r="44" spans="1:28" x14ac:dyDescent="0.25">
      <c r="A44" s="325" t="s">
        <v>280</v>
      </c>
      <c r="B44" s="1125"/>
      <c r="C44" s="1125"/>
      <c r="D44" s="1046">
        <v>0</v>
      </c>
      <c r="E44" s="1046">
        <v>1</v>
      </c>
      <c r="F44" s="1046">
        <f t="shared" ref="F44:AB44" si="21">E44+1</f>
        <v>2</v>
      </c>
      <c r="G44" s="1046">
        <f t="shared" si="21"/>
        <v>3</v>
      </c>
      <c r="H44" s="1046">
        <f t="shared" si="21"/>
        <v>4</v>
      </c>
      <c r="I44" s="1046">
        <f t="shared" si="21"/>
        <v>5</v>
      </c>
      <c r="J44" s="1046">
        <f t="shared" si="21"/>
        <v>6</v>
      </c>
      <c r="K44" s="1046">
        <f t="shared" si="21"/>
        <v>7</v>
      </c>
      <c r="L44" s="1046">
        <f t="shared" si="21"/>
        <v>8</v>
      </c>
      <c r="M44" s="1046">
        <f t="shared" si="21"/>
        <v>9</v>
      </c>
      <c r="N44" s="1046">
        <f t="shared" si="21"/>
        <v>10</v>
      </c>
      <c r="O44" s="1046">
        <f t="shared" si="21"/>
        <v>11</v>
      </c>
      <c r="P44" s="1046">
        <f t="shared" si="21"/>
        <v>12</v>
      </c>
      <c r="Q44" s="1046">
        <f t="shared" si="21"/>
        <v>13</v>
      </c>
      <c r="R44" s="1046">
        <f t="shared" si="21"/>
        <v>14</v>
      </c>
      <c r="S44" s="1046">
        <f t="shared" si="21"/>
        <v>15</v>
      </c>
      <c r="T44" s="1046">
        <f t="shared" si="21"/>
        <v>16</v>
      </c>
      <c r="U44" s="1046">
        <f t="shared" si="21"/>
        <v>17</v>
      </c>
      <c r="V44" s="1046">
        <f t="shared" si="21"/>
        <v>18</v>
      </c>
      <c r="W44" s="1046">
        <f t="shared" si="21"/>
        <v>19</v>
      </c>
      <c r="X44" s="1046">
        <f t="shared" si="21"/>
        <v>20</v>
      </c>
      <c r="Y44" s="1046">
        <f t="shared" si="21"/>
        <v>21</v>
      </c>
      <c r="Z44" s="1046">
        <f t="shared" si="21"/>
        <v>22</v>
      </c>
      <c r="AA44" s="1046">
        <f t="shared" si="21"/>
        <v>23</v>
      </c>
      <c r="AB44" s="1046">
        <f t="shared" si="21"/>
        <v>24</v>
      </c>
    </row>
    <row r="45" spans="1:28" x14ac:dyDescent="0.25">
      <c r="A45" s="309"/>
      <c r="B45" s="298"/>
      <c r="C45" s="298"/>
      <c r="D45" s="1082"/>
      <c r="E45" s="1082"/>
      <c r="F45" s="1082"/>
      <c r="G45" s="1082"/>
      <c r="H45" s="1082"/>
      <c r="I45" s="1082"/>
      <c r="J45" s="1082"/>
      <c r="K45" s="1082"/>
      <c r="L45" s="1082"/>
      <c r="M45" s="1082"/>
      <c r="N45" s="1082"/>
      <c r="O45" s="1082"/>
      <c r="P45" s="1082"/>
      <c r="Q45" s="1082"/>
      <c r="R45" s="1082"/>
      <c r="S45" s="1082"/>
      <c r="T45" s="1082"/>
      <c r="U45" s="1082"/>
      <c r="V45" s="1082"/>
      <c r="W45" s="1082"/>
      <c r="X45" s="1082"/>
      <c r="Y45" s="1082"/>
      <c r="Z45" s="1082"/>
      <c r="AA45" s="1082"/>
      <c r="AB45" s="1082"/>
    </row>
    <row r="46" spans="1:28" x14ac:dyDescent="0.25">
      <c r="A46" s="766" t="s">
        <v>281</v>
      </c>
      <c r="B46" s="768"/>
      <c r="C46" s="768"/>
      <c r="D46" s="768"/>
      <c r="E46" s="1128">
        <f>+E22</f>
        <v>2788.9034250000004</v>
      </c>
      <c r="F46" s="1128">
        <f t="shared" ref="F46:AB46" si="22">+F22</f>
        <v>2823.3416225000001</v>
      </c>
      <c r="G46" s="1128">
        <f t="shared" si="22"/>
        <v>2858.1242019750007</v>
      </c>
      <c r="H46" s="1128">
        <f t="shared" si="22"/>
        <v>2893.2546072447503</v>
      </c>
      <c r="I46" s="1128">
        <f t="shared" si="22"/>
        <v>2928.7363165671977</v>
      </c>
      <c r="J46" s="1128">
        <f t="shared" si="22"/>
        <v>2964.5728429828696</v>
      </c>
      <c r="K46" s="1128">
        <f t="shared" si="22"/>
        <v>3000.7677346626988</v>
      </c>
      <c r="L46" s="1128">
        <f t="shared" si="22"/>
        <v>3037.3245752593257</v>
      </c>
      <c r="M46" s="1128">
        <f t="shared" si="22"/>
        <v>3074.2469842619184</v>
      </c>
      <c r="N46" s="1128">
        <f t="shared" si="22"/>
        <v>3111.5386173545376</v>
      </c>
      <c r="O46" s="1128">
        <f t="shared" si="22"/>
        <v>3149.203166778083</v>
      </c>
      <c r="P46" s="1128">
        <f t="shared" si="22"/>
        <v>3187.2443616958644</v>
      </c>
      <c r="Q46" s="1128">
        <f t="shared" si="22"/>
        <v>3225.6659685628229</v>
      </c>
      <c r="R46" s="1128">
        <f t="shared" si="22"/>
        <v>3264.4717914984512</v>
      </c>
      <c r="S46" s="1128">
        <f t="shared" si="22"/>
        <v>3303.6656726634365</v>
      </c>
      <c r="T46" s="1128">
        <f t="shared" si="22"/>
        <v>3343.2514926400709</v>
      </c>
      <c r="U46" s="1128">
        <f t="shared" si="22"/>
        <v>3383.2331708164711</v>
      </c>
      <c r="V46" s="1128">
        <f t="shared" si="22"/>
        <v>3423.6146657746358</v>
      </c>
      <c r="W46" s="1128">
        <f t="shared" si="22"/>
        <v>3464.3999756823823</v>
      </c>
      <c r="X46" s="1128">
        <f t="shared" si="22"/>
        <v>3505.5931386892062</v>
      </c>
      <c r="Y46" s="1128">
        <f t="shared" si="22"/>
        <v>3547.1982333260985</v>
      </c>
      <c r="Z46" s="1128">
        <f t="shared" si="22"/>
        <v>3589.2193789093599</v>
      </c>
      <c r="AA46" s="1128">
        <f t="shared" si="22"/>
        <v>3631.6607359484533</v>
      </c>
      <c r="AB46" s="1128">
        <f t="shared" si="22"/>
        <v>3674.5265065579379</v>
      </c>
    </row>
    <row r="47" spans="1:28" x14ac:dyDescent="0.25">
      <c r="A47" s="766" t="s">
        <v>282</v>
      </c>
      <c r="B47" s="768"/>
      <c r="C47" s="768"/>
      <c r="D47" s="768"/>
      <c r="E47" s="1128">
        <f>+E21</f>
        <v>654.91632499999992</v>
      </c>
      <c r="F47" s="1128">
        <f t="shared" ref="F47:AB47" si="23">+F21</f>
        <v>654.91632499999992</v>
      </c>
      <c r="G47" s="1128">
        <f t="shared" si="23"/>
        <v>654.91632499999992</v>
      </c>
      <c r="H47" s="1128">
        <f t="shared" si="23"/>
        <v>654.91632499999992</v>
      </c>
      <c r="I47" s="1128">
        <f t="shared" si="23"/>
        <v>654.91632499999992</v>
      </c>
      <c r="J47" s="1128">
        <f t="shared" si="23"/>
        <v>654.91632499999992</v>
      </c>
      <c r="K47" s="1128">
        <f t="shared" si="23"/>
        <v>654.91632499999992</v>
      </c>
      <c r="L47" s="1128">
        <f t="shared" si="23"/>
        <v>654.91632499999992</v>
      </c>
      <c r="M47" s="1128">
        <f t="shared" si="23"/>
        <v>654.91632499999992</v>
      </c>
      <c r="N47" s="1128">
        <f t="shared" si="23"/>
        <v>654.91632499999992</v>
      </c>
      <c r="O47" s="1128">
        <f t="shared" si="23"/>
        <v>654.91632499999992</v>
      </c>
      <c r="P47" s="1128">
        <f t="shared" si="23"/>
        <v>654.91632499999992</v>
      </c>
      <c r="Q47" s="1128">
        <f t="shared" si="23"/>
        <v>654.91632499999992</v>
      </c>
      <c r="R47" s="1128">
        <f t="shared" si="23"/>
        <v>654.91632499999992</v>
      </c>
      <c r="S47" s="1128">
        <f t="shared" si="23"/>
        <v>654.91632499999992</v>
      </c>
      <c r="T47" s="1128">
        <f t="shared" si="23"/>
        <v>654.91632499999992</v>
      </c>
      <c r="U47" s="1128">
        <f t="shared" si="23"/>
        <v>654.91632499999992</v>
      </c>
      <c r="V47" s="1128">
        <f t="shared" si="23"/>
        <v>654.91632499999992</v>
      </c>
      <c r="W47" s="1128">
        <f t="shared" si="23"/>
        <v>654.91632499999992</v>
      </c>
      <c r="X47" s="1128">
        <f t="shared" si="23"/>
        <v>654.91632499999992</v>
      </c>
      <c r="Y47" s="1128">
        <f t="shared" si="23"/>
        <v>654.91632499999992</v>
      </c>
      <c r="Z47" s="1128">
        <f t="shared" si="23"/>
        <v>654.91632499999992</v>
      </c>
      <c r="AA47" s="1128">
        <f t="shared" si="23"/>
        <v>654.91632499999992</v>
      </c>
      <c r="AB47" s="1128">
        <f t="shared" si="23"/>
        <v>654.91632499999992</v>
      </c>
    </row>
    <row r="48" spans="1:28" x14ac:dyDescent="0.25">
      <c r="A48" s="766" t="s">
        <v>283</v>
      </c>
      <c r="B48" s="768"/>
      <c r="C48" s="768"/>
      <c r="D48" s="768"/>
      <c r="E48" s="1128">
        <f>+D8-E8</f>
        <v>-1092.807499999999</v>
      </c>
      <c r="F48" s="1128">
        <f t="shared" ref="F48:AB48" si="24">+E8-F8</f>
        <v>-1092.807499999999</v>
      </c>
      <c r="G48" s="1128">
        <f t="shared" si="24"/>
        <v>-1092.807499999999</v>
      </c>
      <c r="H48" s="1128">
        <f t="shared" si="24"/>
        <v>-1092.807499999999</v>
      </c>
      <c r="I48" s="1128">
        <f t="shared" si="24"/>
        <v>-1092.807499999999</v>
      </c>
      <c r="J48" s="1128">
        <f t="shared" si="24"/>
        <v>-1092.807499999999</v>
      </c>
      <c r="K48" s="1128">
        <f t="shared" si="24"/>
        <v>-1092.807499999999</v>
      </c>
      <c r="L48" s="1128">
        <f t="shared" si="24"/>
        <v>-1092.807499999999</v>
      </c>
      <c r="M48" s="1128">
        <f t="shared" si="24"/>
        <v>-1092.807499999999</v>
      </c>
      <c r="N48" s="1128">
        <f t="shared" si="24"/>
        <v>-1092.807499999999</v>
      </c>
      <c r="O48" s="1128">
        <f t="shared" si="24"/>
        <v>-1092.807499999999</v>
      </c>
      <c r="P48" s="1128">
        <f t="shared" si="24"/>
        <v>-1092.807499999999</v>
      </c>
      <c r="Q48" s="1128">
        <f t="shared" si="24"/>
        <v>-1092.807499999999</v>
      </c>
      <c r="R48" s="1128">
        <f t="shared" si="24"/>
        <v>-1092.807499999999</v>
      </c>
      <c r="S48" s="1128">
        <f t="shared" si="24"/>
        <v>-1092.807499999999</v>
      </c>
      <c r="T48" s="1128">
        <f t="shared" si="24"/>
        <v>-1092.807499999999</v>
      </c>
      <c r="U48" s="1128">
        <f t="shared" si="24"/>
        <v>-1092.807499999999</v>
      </c>
      <c r="V48" s="1128">
        <f t="shared" si="24"/>
        <v>-1092.807499999999</v>
      </c>
      <c r="W48" s="1128">
        <f t="shared" si="24"/>
        <v>-1092.807499999999</v>
      </c>
      <c r="X48" s="1128">
        <f t="shared" si="24"/>
        <v>-1092.807499999999</v>
      </c>
      <c r="Y48" s="1128">
        <f t="shared" si="24"/>
        <v>-1092.807499999999</v>
      </c>
      <c r="Z48" s="1128">
        <f t="shared" si="24"/>
        <v>-1092.807499999999</v>
      </c>
      <c r="AA48" s="1128">
        <f t="shared" si="24"/>
        <v>-1092.8075000000026</v>
      </c>
      <c r="AB48" s="1128">
        <f t="shared" si="24"/>
        <v>-1092.8075000000026</v>
      </c>
    </row>
    <row r="49" spans="1:28" x14ac:dyDescent="0.25">
      <c r="A49" s="766" t="s">
        <v>284</v>
      </c>
      <c r="B49" s="768"/>
      <c r="C49" s="768"/>
      <c r="D49" s="768"/>
      <c r="E49" s="1128">
        <f>+D7-E7</f>
        <v>-171.8304375000007</v>
      </c>
      <c r="F49" s="1128">
        <f t="shared" ref="F49:AB49" si="25">+E7-F7</f>
        <v>-171.8304375000007</v>
      </c>
      <c r="G49" s="1128">
        <f t="shared" si="25"/>
        <v>-171.8304375000007</v>
      </c>
      <c r="H49" s="1128">
        <f t="shared" si="25"/>
        <v>-171.8304375000007</v>
      </c>
      <c r="I49" s="1128">
        <f t="shared" si="25"/>
        <v>-171.8304375000007</v>
      </c>
      <c r="J49" s="1128">
        <f t="shared" si="25"/>
        <v>-171.8304375000007</v>
      </c>
      <c r="K49" s="1128">
        <f t="shared" si="25"/>
        <v>-171.8304375000007</v>
      </c>
      <c r="L49" s="1128">
        <f t="shared" si="25"/>
        <v>-171.8304375000007</v>
      </c>
      <c r="M49" s="1128">
        <f t="shared" si="25"/>
        <v>-171.8304375000007</v>
      </c>
      <c r="N49" s="1128">
        <f t="shared" si="25"/>
        <v>-171.8304375000007</v>
      </c>
      <c r="O49" s="1128">
        <f t="shared" si="25"/>
        <v>-171.8304375000007</v>
      </c>
      <c r="P49" s="1128">
        <f t="shared" si="25"/>
        <v>-171.8304375000007</v>
      </c>
      <c r="Q49" s="1128">
        <f t="shared" si="25"/>
        <v>-171.8304375000007</v>
      </c>
      <c r="R49" s="1128">
        <f t="shared" si="25"/>
        <v>-171.8304375000007</v>
      </c>
      <c r="S49" s="1128">
        <f t="shared" si="25"/>
        <v>-171.8304375000007</v>
      </c>
      <c r="T49" s="1128">
        <f t="shared" si="25"/>
        <v>-171.8304375000007</v>
      </c>
      <c r="U49" s="1128">
        <f t="shared" si="25"/>
        <v>-171.8304375000007</v>
      </c>
      <c r="V49" s="1128">
        <f t="shared" si="25"/>
        <v>-171.8304375000007</v>
      </c>
      <c r="W49" s="1128">
        <f t="shared" si="25"/>
        <v>-171.8304375000007</v>
      </c>
      <c r="X49" s="1128">
        <f t="shared" si="25"/>
        <v>-171.8304375000007</v>
      </c>
      <c r="Y49" s="1128">
        <f t="shared" si="25"/>
        <v>-171.8304375000007</v>
      </c>
      <c r="Z49" s="1128">
        <f t="shared" si="25"/>
        <v>-171.8304375000007</v>
      </c>
      <c r="AA49" s="1128">
        <f t="shared" si="25"/>
        <v>-171.8304375000007</v>
      </c>
      <c r="AB49" s="1128">
        <f t="shared" si="25"/>
        <v>-171.8304375000007</v>
      </c>
    </row>
    <row r="50" spans="1:28" x14ac:dyDescent="0.25">
      <c r="A50" s="1407" t="s">
        <v>285</v>
      </c>
      <c r="B50" s="1408"/>
      <c r="C50" s="1408"/>
      <c r="D50" s="1408"/>
      <c r="E50" s="1409">
        <f t="shared" ref="E50:Q50" si="26">SUM(E46:E49)</f>
        <v>2179.1818125000009</v>
      </c>
      <c r="F50" s="1409">
        <f t="shared" si="26"/>
        <v>2213.6200100000005</v>
      </c>
      <c r="G50" s="1409">
        <f t="shared" si="26"/>
        <v>2248.4025894750012</v>
      </c>
      <c r="H50" s="1409">
        <f t="shared" si="26"/>
        <v>2283.5329947447508</v>
      </c>
      <c r="I50" s="1409">
        <f t="shared" si="26"/>
        <v>2319.0147040671982</v>
      </c>
      <c r="J50" s="1409">
        <f t="shared" si="26"/>
        <v>2354.8512304828701</v>
      </c>
      <c r="K50" s="1409">
        <f t="shared" si="26"/>
        <v>2391.0461221626992</v>
      </c>
      <c r="L50" s="1409">
        <f t="shared" si="26"/>
        <v>2427.6029627593261</v>
      </c>
      <c r="M50" s="1409">
        <f t="shared" si="26"/>
        <v>2464.5253717619189</v>
      </c>
      <c r="N50" s="1409">
        <f t="shared" si="26"/>
        <v>2501.817004854538</v>
      </c>
      <c r="O50" s="1409">
        <f t="shared" si="26"/>
        <v>2539.4815542780834</v>
      </c>
      <c r="P50" s="1409">
        <f t="shared" si="26"/>
        <v>2577.5227491958649</v>
      </c>
      <c r="Q50" s="1409">
        <f t="shared" si="26"/>
        <v>2615.9443560628233</v>
      </c>
      <c r="R50" s="1409">
        <f t="shared" ref="R50:AB50" si="27">SUM(R46:R49)</f>
        <v>2654.7501789984517</v>
      </c>
      <c r="S50" s="1409">
        <f t="shared" si="27"/>
        <v>2693.9440601634369</v>
      </c>
      <c r="T50" s="1409">
        <f t="shared" si="27"/>
        <v>2733.5298801400713</v>
      </c>
      <c r="U50" s="1409">
        <f t="shared" si="27"/>
        <v>2773.5115583164716</v>
      </c>
      <c r="V50" s="1409">
        <f t="shared" si="27"/>
        <v>2813.8930532746363</v>
      </c>
      <c r="W50" s="1409">
        <f t="shared" si="27"/>
        <v>2854.6783631823828</v>
      </c>
      <c r="X50" s="1409">
        <f t="shared" si="27"/>
        <v>2895.8715261892066</v>
      </c>
      <c r="Y50" s="1409">
        <f t="shared" si="27"/>
        <v>2937.476620826099</v>
      </c>
      <c r="Z50" s="1409">
        <f t="shared" si="27"/>
        <v>2979.4977664093603</v>
      </c>
      <c r="AA50" s="1409">
        <f t="shared" si="27"/>
        <v>3021.9391234484501</v>
      </c>
      <c r="AB50" s="1409">
        <f t="shared" si="27"/>
        <v>3064.8048940579347</v>
      </c>
    </row>
    <row r="51" spans="1:28" ht="16.5" thickBot="1" x14ac:dyDescent="0.3">
      <c r="A51" s="766" t="s">
        <v>286</v>
      </c>
      <c r="B51" s="768"/>
      <c r="C51" s="1128" t="s">
        <v>331</v>
      </c>
      <c r="D51" s="768"/>
      <c r="E51" s="1128">
        <f>-E46*E30</f>
        <v>-976.11619875000008</v>
      </c>
      <c r="F51" s="1128">
        <f t="shared" ref="F51:AB51" si="28">-F46*F30</f>
        <v>-988.16956787499998</v>
      </c>
      <c r="G51" s="1128">
        <f t="shared" si="28"/>
        <v>-1000.3434706912502</v>
      </c>
      <c r="H51" s="1128">
        <f t="shared" si="28"/>
        <v>-1012.6391125356625</v>
      </c>
      <c r="I51" s="1128">
        <f t="shared" si="28"/>
        <v>-1025.0577107985191</v>
      </c>
      <c r="J51" s="1128">
        <f t="shared" si="28"/>
        <v>-1037.6004950440042</v>
      </c>
      <c r="K51" s="1128">
        <f t="shared" si="28"/>
        <v>-1050.2687071319444</v>
      </c>
      <c r="L51" s="1128">
        <f t="shared" si="28"/>
        <v>-1063.0636013407639</v>
      </c>
      <c r="M51" s="1128">
        <f t="shared" si="28"/>
        <v>-1075.9864444916714</v>
      </c>
      <c r="N51" s="1128">
        <f t="shared" si="28"/>
        <v>-1089.038516074088</v>
      </c>
      <c r="O51" s="1128">
        <f t="shared" si="28"/>
        <v>-1102.2211083723289</v>
      </c>
      <c r="P51" s="1128">
        <f t="shared" si="28"/>
        <v>-1115.5355265935525</v>
      </c>
      <c r="Q51" s="1128">
        <f t="shared" si="28"/>
        <v>-1128.9830889969878</v>
      </c>
      <c r="R51" s="1128">
        <f t="shared" si="28"/>
        <v>-1142.5651270244578</v>
      </c>
      <c r="S51" s="1128">
        <f t="shared" si="28"/>
        <v>-1156.2829854322026</v>
      </c>
      <c r="T51" s="1128">
        <f t="shared" si="28"/>
        <v>-1170.1380224240247</v>
      </c>
      <c r="U51" s="1128">
        <f t="shared" si="28"/>
        <v>-1184.1316097857648</v>
      </c>
      <c r="V51" s="1128">
        <f t="shared" si="28"/>
        <v>-1198.2651330211224</v>
      </c>
      <c r="W51" s="1128">
        <f t="shared" si="28"/>
        <v>-1212.5399914888337</v>
      </c>
      <c r="X51" s="1128">
        <f t="shared" si="28"/>
        <v>-1226.9575985412221</v>
      </c>
      <c r="Y51" s="1128">
        <f t="shared" si="28"/>
        <v>-1241.5193816641345</v>
      </c>
      <c r="Z51" s="1128">
        <f t="shared" si="28"/>
        <v>-1256.2267826182758</v>
      </c>
      <c r="AA51" s="1128">
        <f t="shared" si="28"/>
        <v>-1271.0812575819587</v>
      </c>
      <c r="AB51" s="1128">
        <f t="shared" si="28"/>
        <v>-1286.0842772952781</v>
      </c>
    </row>
    <row r="52" spans="1:28" ht="16.5" thickBot="1" x14ac:dyDescent="0.3">
      <c r="A52" s="1410" t="s">
        <v>287</v>
      </c>
      <c r="B52" s="1411"/>
      <c r="C52" s="1411"/>
      <c r="D52" s="1411"/>
      <c r="E52" s="1412">
        <f t="shared" ref="E52:AB52" si="29">+E50+E51</f>
        <v>1203.0656137500009</v>
      </c>
      <c r="F52" s="1412">
        <f t="shared" si="29"/>
        <v>1225.4504421250006</v>
      </c>
      <c r="G52" s="1412">
        <f t="shared" si="29"/>
        <v>1248.0591187837508</v>
      </c>
      <c r="H52" s="1412">
        <f t="shared" si="29"/>
        <v>1270.8938822090881</v>
      </c>
      <c r="I52" s="1412">
        <f t="shared" si="29"/>
        <v>1293.9569932686791</v>
      </c>
      <c r="J52" s="1412">
        <f t="shared" si="29"/>
        <v>1317.2507354388658</v>
      </c>
      <c r="K52" s="1412">
        <f t="shared" si="29"/>
        <v>1340.7774150307548</v>
      </c>
      <c r="L52" s="1412">
        <f t="shared" si="29"/>
        <v>1364.5393614185623</v>
      </c>
      <c r="M52" s="1412">
        <f t="shared" si="29"/>
        <v>1388.5389272702475</v>
      </c>
      <c r="N52" s="1412">
        <f t="shared" si="29"/>
        <v>1412.7784887804501</v>
      </c>
      <c r="O52" s="1412">
        <f t="shared" si="29"/>
        <v>1437.2604459057545</v>
      </c>
      <c r="P52" s="1412">
        <f t="shared" si="29"/>
        <v>1461.9872226023124</v>
      </c>
      <c r="Q52" s="1412">
        <f t="shared" si="29"/>
        <v>1486.9612670658355</v>
      </c>
      <c r="R52" s="1412">
        <f t="shared" si="29"/>
        <v>1512.185051973994</v>
      </c>
      <c r="S52" s="1412">
        <f t="shared" si="29"/>
        <v>1537.6610747312343</v>
      </c>
      <c r="T52" s="1412">
        <f t="shared" si="29"/>
        <v>1563.3918577160466</v>
      </c>
      <c r="U52" s="1412">
        <f t="shared" si="29"/>
        <v>1589.3799485307068</v>
      </c>
      <c r="V52" s="1412">
        <f t="shared" si="29"/>
        <v>1615.6279202535138</v>
      </c>
      <c r="W52" s="1412">
        <f t="shared" si="29"/>
        <v>1642.1383716935491</v>
      </c>
      <c r="X52" s="1412">
        <f t="shared" si="29"/>
        <v>1668.9139276479846</v>
      </c>
      <c r="Y52" s="1412">
        <f t="shared" si="29"/>
        <v>1695.9572391619645</v>
      </c>
      <c r="Z52" s="1412">
        <f t="shared" si="29"/>
        <v>1723.2709837910845</v>
      </c>
      <c r="AA52" s="1412">
        <f t="shared" si="29"/>
        <v>1750.8578658664915</v>
      </c>
      <c r="AB52" s="1412">
        <f t="shared" si="29"/>
        <v>1778.7206167626566</v>
      </c>
    </row>
    <row r="53" spans="1:28" ht="16.5" thickBot="1" x14ac:dyDescent="0.3">
      <c r="A53" s="1413" t="s">
        <v>1268</v>
      </c>
      <c r="B53" s="1413"/>
      <c r="C53" s="1414" t="s">
        <v>332</v>
      </c>
      <c r="D53" s="1415"/>
      <c r="E53" s="1414">
        <f t="shared" ref="E53:AB53" si="30">+D14*E37*E30</f>
        <v>421.96765520000002</v>
      </c>
      <c r="F53" s="1414">
        <f t="shared" si="30"/>
        <v>436.72136900000004</v>
      </c>
      <c r="G53" s="1414">
        <f t="shared" si="30"/>
        <v>451.4750828</v>
      </c>
      <c r="H53" s="1414">
        <f t="shared" si="30"/>
        <v>466.22879660000001</v>
      </c>
      <c r="I53" s="1414">
        <f t="shared" si="30"/>
        <v>480.98251039999997</v>
      </c>
      <c r="J53" s="1414">
        <f t="shared" si="30"/>
        <v>495.73622419999998</v>
      </c>
      <c r="K53" s="1414">
        <f t="shared" si="30"/>
        <v>510.48993800000005</v>
      </c>
      <c r="L53" s="1414">
        <f t="shared" si="30"/>
        <v>525.24365180000007</v>
      </c>
      <c r="M53" s="1414">
        <f t="shared" si="30"/>
        <v>539.99736560000008</v>
      </c>
      <c r="N53" s="1414">
        <f t="shared" si="30"/>
        <v>554.75107939999998</v>
      </c>
      <c r="O53" s="1414">
        <f t="shared" si="30"/>
        <v>569.50479319999999</v>
      </c>
      <c r="P53" s="1414">
        <f t="shared" si="30"/>
        <v>584.25850700000001</v>
      </c>
      <c r="Q53" s="1414">
        <f t="shared" si="30"/>
        <v>599.01222080000002</v>
      </c>
      <c r="R53" s="1414">
        <f t="shared" si="30"/>
        <v>613.76593460000004</v>
      </c>
      <c r="S53" s="1414">
        <f t="shared" si="30"/>
        <v>628.51964839999994</v>
      </c>
      <c r="T53" s="1414">
        <f t="shared" si="30"/>
        <v>643.27336220000007</v>
      </c>
      <c r="U53" s="1414">
        <f t="shared" si="30"/>
        <v>658.02707600000008</v>
      </c>
      <c r="V53" s="1414">
        <f t="shared" si="30"/>
        <v>672.78078979999998</v>
      </c>
      <c r="W53" s="1414">
        <f t="shared" si="30"/>
        <v>687.53450359999999</v>
      </c>
      <c r="X53" s="1414">
        <f t="shared" si="30"/>
        <v>702.28821740000001</v>
      </c>
      <c r="Y53" s="1414">
        <f t="shared" si="30"/>
        <v>717.04193120000002</v>
      </c>
      <c r="Z53" s="1414">
        <f t="shared" si="30"/>
        <v>731.79564500000004</v>
      </c>
      <c r="AA53" s="1414">
        <f t="shared" si="30"/>
        <v>746.54935879999994</v>
      </c>
      <c r="AB53" s="1414">
        <f t="shared" si="30"/>
        <v>761.30307259999995</v>
      </c>
    </row>
    <row r="54" spans="1:28" ht="16.5" thickBot="1" x14ac:dyDescent="0.3">
      <c r="A54" s="1416" t="s">
        <v>289</v>
      </c>
      <c r="B54" s="1417"/>
      <c r="C54" s="1417"/>
      <c r="D54" s="1418"/>
      <c r="E54" s="1412">
        <f>+E52+E53</f>
        <v>1625.033268950001</v>
      </c>
      <c r="F54" s="1412">
        <f t="shared" ref="F54:AA54" si="31">+F52+F53</f>
        <v>1662.1718111250007</v>
      </c>
      <c r="G54" s="1412">
        <f t="shared" si="31"/>
        <v>1699.5342015837509</v>
      </c>
      <c r="H54" s="1412">
        <f t="shared" si="31"/>
        <v>1737.122678809088</v>
      </c>
      <c r="I54" s="1412">
        <f t="shared" si="31"/>
        <v>1774.939503668679</v>
      </c>
      <c r="J54" s="1412">
        <f t="shared" si="31"/>
        <v>1812.9869596388658</v>
      </c>
      <c r="K54" s="1412">
        <f t="shared" si="31"/>
        <v>1851.2673530307547</v>
      </c>
      <c r="L54" s="1412">
        <f t="shared" si="31"/>
        <v>1889.7830132185622</v>
      </c>
      <c r="M54" s="1412">
        <f t="shared" si="31"/>
        <v>1928.5362928702475</v>
      </c>
      <c r="N54" s="1412">
        <f t="shared" si="31"/>
        <v>1967.52956818045</v>
      </c>
      <c r="O54" s="1412">
        <f t="shared" si="31"/>
        <v>2006.7652391057545</v>
      </c>
      <c r="P54" s="1412">
        <f t="shared" si="31"/>
        <v>2046.2457296023124</v>
      </c>
      <c r="Q54" s="1412">
        <f t="shared" si="31"/>
        <v>2085.9734878658355</v>
      </c>
      <c r="R54" s="1412">
        <f t="shared" si="31"/>
        <v>2125.9509865739938</v>
      </c>
      <c r="S54" s="1412">
        <f t="shared" si="31"/>
        <v>2166.1807231312341</v>
      </c>
      <c r="T54" s="1412">
        <f t="shared" si="31"/>
        <v>2206.6652199160467</v>
      </c>
      <c r="U54" s="1412">
        <f t="shared" si="31"/>
        <v>2247.4070245307066</v>
      </c>
      <c r="V54" s="1412">
        <f t="shared" si="31"/>
        <v>2288.4087100535139</v>
      </c>
      <c r="W54" s="1412">
        <f t="shared" si="31"/>
        <v>2329.6728752935492</v>
      </c>
      <c r="X54" s="1412">
        <f t="shared" si="31"/>
        <v>2371.2021450479847</v>
      </c>
      <c r="Y54" s="1412">
        <f t="shared" si="31"/>
        <v>2412.9991703619644</v>
      </c>
      <c r="Z54" s="1412">
        <f t="shared" si="31"/>
        <v>2455.0666287910844</v>
      </c>
      <c r="AA54" s="1412">
        <f t="shared" si="31"/>
        <v>2497.4072246664914</v>
      </c>
      <c r="AB54" s="1412">
        <f>+AB52+AB53</f>
        <v>2540.0236893626566</v>
      </c>
    </row>
    <row r="56" spans="1:28" x14ac:dyDescent="0.25">
      <c r="A56" s="766" t="s">
        <v>290</v>
      </c>
      <c r="B56" s="768"/>
      <c r="C56" s="768"/>
      <c r="D56" s="768"/>
      <c r="E56" s="1128">
        <f t="shared" ref="E56:AB56" si="32">+E26</f>
        <v>1314.4409175625001</v>
      </c>
      <c r="F56" s="1128">
        <f t="shared" si="32"/>
        <v>1319.7008995625001</v>
      </c>
      <c r="G56" s="1128">
        <f t="shared" si="32"/>
        <v>1325.1847298462503</v>
      </c>
      <c r="H56" s="1128">
        <f t="shared" si="32"/>
        <v>1330.8946468965878</v>
      </c>
      <c r="I56" s="1128">
        <f t="shared" si="32"/>
        <v>1336.8329115811787</v>
      </c>
      <c r="J56" s="1128">
        <f t="shared" si="32"/>
        <v>1343.0018073763652</v>
      </c>
      <c r="K56" s="1128">
        <f t="shared" si="32"/>
        <v>1349.4036405932543</v>
      </c>
      <c r="L56" s="1128">
        <f t="shared" si="32"/>
        <v>1356.0407406060617</v>
      </c>
      <c r="M56" s="1128">
        <f t="shared" si="32"/>
        <v>1362.9154600827469</v>
      </c>
      <c r="N56" s="1128">
        <f t="shared" si="32"/>
        <v>1370.0301752179496</v>
      </c>
      <c r="O56" s="1128">
        <f t="shared" si="32"/>
        <v>1373.9717215826288</v>
      </c>
      <c r="P56" s="1128">
        <f t="shared" si="32"/>
        <v>1378.2161425859558</v>
      </c>
      <c r="Q56" s="1128">
        <f t="shared" si="32"/>
        <v>1382.7664669743149</v>
      </c>
      <c r="R56" s="1128">
        <f t="shared" si="32"/>
        <v>1387.6257537815586</v>
      </c>
      <c r="S56" s="1128">
        <f t="shared" si="32"/>
        <v>1392.7970926318749</v>
      </c>
      <c r="T56" s="1128">
        <f t="shared" si="32"/>
        <v>1398.2836040456937</v>
      </c>
      <c r="U56" s="1128">
        <f t="shared" si="32"/>
        <v>1404.0884397486502</v>
      </c>
      <c r="V56" s="1128">
        <f t="shared" si="32"/>
        <v>1410.2147829836363</v>
      </c>
      <c r="W56" s="1128">
        <f t="shared" si="32"/>
        <v>1416.6658488259732</v>
      </c>
      <c r="X56" s="1128">
        <f t="shared" si="32"/>
        <v>1423.444884501733</v>
      </c>
      <c r="Y56" s="1128">
        <f t="shared" si="32"/>
        <v>1430.5551697092503</v>
      </c>
      <c r="Z56" s="1128">
        <f t="shared" si="32"/>
        <v>1438.0000169438435</v>
      </c>
      <c r="AA56" s="1128">
        <f t="shared" si="32"/>
        <v>1445.7827718257813</v>
      </c>
      <c r="AB56" s="1128">
        <f t="shared" si="32"/>
        <v>1453.9068134315394</v>
      </c>
    </row>
    <row r="57" spans="1:28" x14ac:dyDescent="0.25">
      <c r="A57" s="766" t="s">
        <v>282</v>
      </c>
      <c r="B57" s="768"/>
      <c r="C57" s="768"/>
      <c r="D57" s="768"/>
      <c r="E57" s="1128">
        <f t="shared" ref="E57:AB57" si="33">+E21</f>
        <v>654.91632499999992</v>
      </c>
      <c r="F57" s="1128">
        <f t="shared" si="33"/>
        <v>654.91632499999992</v>
      </c>
      <c r="G57" s="1128">
        <f t="shared" si="33"/>
        <v>654.91632499999992</v>
      </c>
      <c r="H57" s="1128">
        <f t="shared" si="33"/>
        <v>654.91632499999992</v>
      </c>
      <c r="I57" s="1128">
        <f t="shared" si="33"/>
        <v>654.91632499999992</v>
      </c>
      <c r="J57" s="1128">
        <f t="shared" si="33"/>
        <v>654.91632499999992</v>
      </c>
      <c r="K57" s="1128">
        <f t="shared" si="33"/>
        <v>654.91632499999992</v>
      </c>
      <c r="L57" s="1128">
        <f t="shared" si="33"/>
        <v>654.91632499999992</v>
      </c>
      <c r="M57" s="1128">
        <f t="shared" si="33"/>
        <v>654.91632499999992</v>
      </c>
      <c r="N57" s="1128">
        <f t="shared" si="33"/>
        <v>654.91632499999992</v>
      </c>
      <c r="O57" s="1128">
        <f t="shared" si="33"/>
        <v>654.91632499999992</v>
      </c>
      <c r="P57" s="1128">
        <f t="shared" si="33"/>
        <v>654.91632499999992</v>
      </c>
      <c r="Q57" s="1128">
        <f t="shared" si="33"/>
        <v>654.91632499999992</v>
      </c>
      <c r="R57" s="1128">
        <f t="shared" si="33"/>
        <v>654.91632499999992</v>
      </c>
      <c r="S57" s="1128">
        <f t="shared" si="33"/>
        <v>654.91632499999992</v>
      </c>
      <c r="T57" s="1128">
        <f t="shared" si="33"/>
        <v>654.91632499999992</v>
      </c>
      <c r="U57" s="1128">
        <f t="shared" si="33"/>
        <v>654.91632499999992</v>
      </c>
      <c r="V57" s="1128">
        <f t="shared" si="33"/>
        <v>654.91632499999992</v>
      </c>
      <c r="W57" s="1128">
        <f t="shared" si="33"/>
        <v>654.91632499999992</v>
      </c>
      <c r="X57" s="1128">
        <f t="shared" si="33"/>
        <v>654.91632499999992</v>
      </c>
      <c r="Y57" s="1128">
        <f t="shared" si="33"/>
        <v>654.91632499999992</v>
      </c>
      <c r="Z57" s="1128">
        <f t="shared" si="33"/>
        <v>654.91632499999992</v>
      </c>
      <c r="AA57" s="1128">
        <f t="shared" si="33"/>
        <v>654.91632499999992</v>
      </c>
      <c r="AB57" s="1128">
        <f t="shared" si="33"/>
        <v>654.91632499999992</v>
      </c>
    </row>
    <row r="58" spans="1:28" x14ac:dyDescent="0.25">
      <c r="A58" s="766" t="s">
        <v>283</v>
      </c>
      <c r="B58" s="768"/>
      <c r="C58" s="768"/>
      <c r="D58" s="768"/>
      <c r="E58" s="1128">
        <f t="shared" ref="E58:AB58" si="34">-E8+D8</f>
        <v>-1092.807499999999</v>
      </c>
      <c r="F58" s="1128">
        <f t="shared" si="34"/>
        <v>-1092.807499999999</v>
      </c>
      <c r="G58" s="1128">
        <f t="shared" si="34"/>
        <v>-1092.807499999999</v>
      </c>
      <c r="H58" s="1128">
        <f t="shared" si="34"/>
        <v>-1092.807499999999</v>
      </c>
      <c r="I58" s="1128">
        <f t="shared" si="34"/>
        <v>-1092.807499999999</v>
      </c>
      <c r="J58" s="1128">
        <f t="shared" si="34"/>
        <v>-1092.807499999999</v>
      </c>
      <c r="K58" s="1128">
        <f t="shared" si="34"/>
        <v>-1092.807499999999</v>
      </c>
      <c r="L58" s="1128">
        <f t="shared" si="34"/>
        <v>-1092.807499999999</v>
      </c>
      <c r="M58" s="1128">
        <f t="shared" si="34"/>
        <v>-1092.807499999999</v>
      </c>
      <c r="N58" s="1128">
        <f t="shared" si="34"/>
        <v>-1092.807499999999</v>
      </c>
      <c r="O58" s="1128">
        <f t="shared" si="34"/>
        <v>-1092.807499999999</v>
      </c>
      <c r="P58" s="1128">
        <f t="shared" si="34"/>
        <v>-1092.807499999999</v>
      </c>
      <c r="Q58" s="1128">
        <f t="shared" si="34"/>
        <v>-1092.807499999999</v>
      </c>
      <c r="R58" s="1128">
        <f t="shared" si="34"/>
        <v>-1092.807499999999</v>
      </c>
      <c r="S58" s="1128">
        <f t="shared" si="34"/>
        <v>-1092.807499999999</v>
      </c>
      <c r="T58" s="1128">
        <f t="shared" si="34"/>
        <v>-1092.807499999999</v>
      </c>
      <c r="U58" s="1128">
        <f t="shared" si="34"/>
        <v>-1092.807499999999</v>
      </c>
      <c r="V58" s="1128">
        <f t="shared" si="34"/>
        <v>-1092.807499999999</v>
      </c>
      <c r="W58" s="1128">
        <f t="shared" si="34"/>
        <v>-1092.807499999999</v>
      </c>
      <c r="X58" s="1128">
        <f t="shared" si="34"/>
        <v>-1092.807499999999</v>
      </c>
      <c r="Y58" s="1128">
        <f t="shared" si="34"/>
        <v>-1092.807499999999</v>
      </c>
      <c r="Z58" s="1128">
        <f t="shared" si="34"/>
        <v>-1092.807499999999</v>
      </c>
      <c r="AA58" s="1128">
        <f t="shared" si="34"/>
        <v>-1092.8075000000026</v>
      </c>
      <c r="AB58" s="1128">
        <f t="shared" si="34"/>
        <v>-1092.8075000000026</v>
      </c>
    </row>
    <row r="59" spans="1:28" x14ac:dyDescent="0.25">
      <c r="A59" s="766" t="s">
        <v>284</v>
      </c>
      <c r="B59" s="768"/>
      <c r="C59" s="768"/>
      <c r="D59" s="768"/>
      <c r="E59" s="1128">
        <f>+E49</f>
        <v>-171.8304375000007</v>
      </c>
      <c r="F59" s="1128">
        <f t="shared" ref="F59:AB59" si="35">+F49</f>
        <v>-171.8304375000007</v>
      </c>
      <c r="G59" s="1128">
        <f t="shared" si="35"/>
        <v>-171.8304375000007</v>
      </c>
      <c r="H59" s="1128">
        <f t="shared" si="35"/>
        <v>-171.8304375000007</v>
      </c>
      <c r="I59" s="1128">
        <f t="shared" si="35"/>
        <v>-171.8304375000007</v>
      </c>
      <c r="J59" s="1128">
        <f t="shared" si="35"/>
        <v>-171.8304375000007</v>
      </c>
      <c r="K59" s="1128">
        <f t="shared" si="35"/>
        <v>-171.8304375000007</v>
      </c>
      <c r="L59" s="1128">
        <f t="shared" si="35"/>
        <v>-171.8304375000007</v>
      </c>
      <c r="M59" s="1128">
        <f t="shared" si="35"/>
        <v>-171.8304375000007</v>
      </c>
      <c r="N59" s="1128">
        <f t="shared" si="35"/>
        <v>-171.8304375000007</v>
      </c>
      <c r="O59" s="1128">
        <f t="shared" si="35"/>
        <v>-171.8304375000007</v>
      </c>
      <c r="P59" s="1128">
        <f t="shared" si="35"/>
        <v>-171.8304375000007</v>
      </c>
      <c r="Q59" s="1128">
        <f t="shared" si="35"/>
        <v>-171.8304375000007</v>
      </c>
      <c r="R59" s="1128">
        <f t="shared" si="35"/>
        <v>-171.8304375000007</v>
      </c>
      <c r="S59" s="1128">
        <f t="shared" si="35"/>
        <v>-171.8304375000007</v>
      </c>
      <c r="T59" s="1128">
        <f t="shared" si="35"/>
        <v>-171.8304375000007</v>
      </c>
      <c r="U59" s="1128">
        <f t="shared" si="35"/>
        <v>-171.8304375000007</v>
      </c>
      <c r="V59" s="1128">
        <f t="shared" si="35"/>
        <v>-171.8304375000007</v>
      </c>
      <c r="W59" s="1128">
        <f t="shared" si="35"/>
        <v>-171.8304375000007</v>
      </c>
      <c r="X59" s="1128">
        <f t="shared" si="35"/>
        <v>-171.8304375000007</v>
      </c>
      <c r="Y59" s="1128">
        <f t="shared" si="35"/>
        <v>-171.8304375000007</v>
      </c>
      <c r="Z59" s="1128">
        <f t="shared" si="35"/>
        <v>-171.8304375000007</v>
      </c>
      <c r="AA59" s="1128">
        <f t="shared" si="35"/>
        <v>-171.8304375000007</v>
      </c>
      <c r="AB59" s="1128">
        <f t="shared" si="35"/>
        <v>-171.8304375000007</v>
      </c>
    </row>
    <row r="60" spans="1:28" ht="16.5" thickBot="1" x14ac:dyDescent="0.3">
      <c r="A60" s="766" t="s">
        <v>291</v>
      </c>
      <c r="B60" s="768"/>
      <c r="C60" s="768"/>
      <c r="D60" s="768"/>
      <c r="E60" s="1128">
        <f t="shared" ref="E60:AB60" si="36">+E14-D14</f>
        <v>376.37024999999994</v>
      </c>
      <c r="F60" s="1128">
        <f t="shared" si="36"/>
        <v>376.37024999999994</v>
      </c>
      <c r="G60" s="1128">
        <f t="shared" si="36"/>
        <v>376.37024999999994</v>
      </c>
      <c r="H60" s="1128">
        <f t="shared" si="36"/>
        <v>376.37024999999994</v>
      </c>
      <c r="I60" s="1128">
        <f t="shared" si="36"/>
        <v>376.37024999999994</v>
      </c>
      <c r="J60" s="1128">
        <f t="shared" si="36"/>
        <v>376.37024999999994</v>
      </c>
      <c r="K60" s="1128">
        <f t="shared" si="36"/>
        <v>376.37024999999994</v>
      </c>
      <c r="L60" s="1128">
        <f t="shared" si="36"/>
        <v>376.37024999999994</v>
      </c>
      <c r="M60" s="1128">
        <f t="shared" si="36"/>
        <v>376.37024999999994</v>
      </c>
      <c r="N60" s="1128">
        <f t="shared" si="36"/>
        <v>376.37024999999994</v>
      </c>
      <c r="O60" s="1128">
        <f t="shared" si="36"/>
        <v>376.37024999999994</v>
      </c>
      <c r="P60" s="1128">
        <f t="shared" si="36"/>
        <v>376.37024999999994</v>
      </c>
      <c r="Q60" s="1128">
        <f t="shared" si="36"/>
        <v>376.37024999999994</v>
      </c>
      <c r="R60" s="1128">
        <f t="shared" si="36"/>
        <v>376.37024999999994</v>
      </c>
      <c r="S60" s="1128">
        <f t="shared" si="36"/>
        <v>376.37024999999994</v>
      </c>
      <c r="T60" s="1128">
        <f t="shared" si="36"/>
        <v>376.37024999999994</v>
      </c>
      <c r="U60" s="1128">
        <f t="shared" si="36"/>
        <v>376.37024999999994</v>
      </c>
      <c r="V60" s="1128">
        <f t="shared" si="36"/>
        <v>376.37024999999994</v>
      </c>
      <c r="W60" s="1128">
        <f t="shared" si="36"/>
        <v>376.37024999999994</v>
      </c>
      <c r="X60" s="1128">
        <f t="shared" si="36"/>
        <v>376.37024999999994</v>
      </c>
      <c r="Y60" s="1128">
        <f t="shared" si="36"/>
        <v>376.37024999999994</v>
      </c>
      <c r="Z60" s="1128">
        <f t="shared" si="36"/>
        <v>376.37024999999994</v>
      </c>
      <c r="AA60" s="1128">
        <f t="shared" si="36"/>
        <v>376.37024999999994</v>
      </c>
      <c r="AB60" s="1128">
        <f t="shared" si="36"/>
        <v>376.37024999999994</v>
      </c>
    </row>
    <row r="61" spans="1:28" ht="16.5" thickBot="1" x14ac:dyDescent="0.3">
      <c r="A61" s="1410" t="s">
        <v>292</v>
      </c>
      <c r="B61" s="1411"/>
      <c r="C61" s="1411"/>
      <c r="D61" s="1411"/>
      <c r="E61" s="1412">
        <f t="shared" ref="E61:AB61" si="37">SUM(E56:E60)</f>
        <v>1081.0895550625003</v>
      </c>
      <c r="F61" s="1412">
        <f t="shared" si="37"/>
        <v>1086.3495370625003</v>
      </c>
      <c r="G61" s="1412">
        <f t="shared" si="37"/>
        <v>1091.8333673462505</v>
      </c>
      <c r="H61" s="1412">
        <f t="shared" si="37"/>
        <v>1097.543284396588</v>
      </c>
      <c r="I61" s="1412">
        <f t="shared" si="37"/>
        <v>1103.4815490811789</v>
      </c>
      <c r="J61" s="1412">
        <f t="shared" si="37"/>
        <v>1109.6504448763653</v>
      </c>
      <c r="K61" s="1412">
        <f t="shared" si="37"/>
        <v>1116.0522780932545</v>
      </c>
      <c r="L61" s="1412">
        <f t="shared" si="37"/>
        <v>1122.6893781060619</v>
      </c>
      <c r="M61" s="1412">
        <f t="shared" si="37"/>
        <v>1129.5640975827471</v>
      </c>
      <c r="N61" s="1412">
        <f t="shared" si="37"/>
        <v>1136.6788127179498</v>
      </c>
      <c r="O61" s="1412">
        <f t="shared" si="37"/>
        <v>1140.620359082629</v>
      </c>
      <c r="P61" s="1412">
        <f t="shared" si="37"/>
        <v>1144.864780085956</v>
      </c>
      <c r="Q61" s="1412">
        <f t="shared" si="37"/>
        <v>1149.4151044743151</v>
      </c>
      <c r="R61" s="1412">
        <f t="shared" si="37"/>
        <v>1154.2743912815588</v>
      </c>
      <c r="S61" s="1412">
        <f t="shared" si="37"/>
        <v>1159.4457301318751</v>
      </c>
      <c r="T61" s="1412">
        <f t="shared" si="37"/>
        <v>1164.9322415456936</v>
      </c>
      <c r="U61" s="1412">
        <f t="shared" si="37"/>
        <v>1170.7370772486502</v>
      </c>
      <c r="V61" s="1412">
        <f t="shared" si="37"/>
        <v>1176.8634204836362</v>
      </c>
      <c r="W61" s="1412">
        <f t="shared" si="37"/>
        <v>1183.3144863259731</v>
      </c>
      <c r="X61" s="1412">
        <f t="shared" si="37"/>
        <v>1190.0935220017332</v>
      </c>
      <c r="Y61" s="1412">
        <f t="shared" si="37"/>
        <v>1197.2038072092505</v>
      </c>
      <c r="Z61" s="1412">
        <f t="shared" si="37"/>
        <v>1204.648654443844</v>
      </c>
      <c r="AA61" s="1412">
        <f t="shared" si="37"/>
        <v>1212.4314093257781</v>
      </c>
      <c r="AB61" s="1419">
        <f t="shared" si="37"/>
        <v>1220.5554509315361</v>
      </c>
    </row>
    <row r="62" spans="1:28" x14ac:dyDescent="0.25">
      <c r="A62" s="766" t="s">
        <v>291</v>
      </c>
      <c r="B62" s="768"/>
      <c r="C62" s="768"/>
      <c r="D62" s="768"/>
      <c r="E62" s="1128">
        <f t="shared" ref="E62:AB62" si="38">-E60</f>
        <v>-376.37024999999994</v>
      </c>
      <c r="F62" s="1128">
        <f t="shared" si="38"/>
        <v>-376.37024999999994</v>
      </c>
      <c r="G62" s="1128">
        <f t="shared" si="38"/>
        <v>-376.37024999999994</v>
      </c>
      <c r="H62" s="1128">
        <f t="shared" si="38"/>
        <v>-376.37024999999994</v>
      </c>
      <c r="I62" s="1128">
        <f t="shared" si="38"/>
        <v>-376.37024999999994</v>
      </c>
      <c r="J62" s="1128">
        <f t="shared" si="38"/>
        <v>-376.37024999999994</v>
      </c>
      <c r="K62" s="1128">
        <f t="shared" si="38"/>
        <v>-376.37024999999994</v>
      </c>
      <c r="L62" s="1128">
        <f t="shared" si="38"/>
        <v>-376.37024999999994</v>
      </c>
      <c r="M62" s="1128">
        <f t="shared" si="38"/>
        <v>-376.37024999999994</v>
      </c>
      <c r="N62" s="1128">
        <f t="shared" si="38"/>
        <v>-376.37024999999994</v>
      </c>
      <c r="O62" s="1128">
        <f t="shared" si="38"/>
        <v>-376.37024999999994</v>
      </c>
      <c r="P62" s="1128">
        <f t="shared" si="38"/>
        <v>-376.37024999999994</v>
      </c>
      <c r="Q62" s="1128">
        <f t="shared" si="38"/>
        <v>-376.37024999999994</v>
      </c>
      <c r="R62" s="1128">
        <f t="shared" si="38"/>
        <v>-376.37024999999994</v>
      </c>
      <c r="S62" s="1128">
        <f t="shared" si="38"/>
        <v>-376.37024999999994</v>
      </c>
      <c r="T62" s="1128">
        <f t="shared" si="38"/>
        <v>-376.37024999999994</v>
      </c>
      <c r="U62" s="1128">
        <f t="shared" si="38"/>
        <v>-376.37024999999994</v>
      </c>
      <c r="V62" s="1128">
        <f t="shared" si="38"/>
        <v>-376.37024999999994</v>
      </c>
      <c r="W62" s="1128">
        <f t="shared" si="38"/>
        <v>-376.37024999999994</v>
      </c>
      <c r="X62" s="1128">
        <f t="shared" si="38"/>
        <v>-376.37024999999994</v>
      </c>
      <c r="Y62" s="1128">
        <f t="shared" si="38"/>
        <v>-376.37024999999994</v>
      </c>
      <c r="Z62" s="1128">
        <f t="shared" si="38"/>
        <v>-376.37024999999994</v>
      </c>
      <c r="AA62" s="1128">
        <f t="shared" si="38"/>
        <v>-376.37024999999994</v>
      </c>
      <c r="AB62" s="1128">
        <f t="shared" si="38"/>
        <v>-376.37024999999994</v>
      </c>
    </row>
    <row r="63" spans="1:28" ht="16.5" thickBot="1" x14ac:dyDescent="0.3">
      <c r="A63" s="766" t="s">
        <v>252</v>
      </c>
      <c r="B63" s="768"/>
      <c r="C63" s="768"/>
      <c r="D63" s="768"/>
      <c r="E63" s="1128">
        <f t="shared" ref="E63:AB63" si="39">+E23</f>
        <v>766.68662875000007</v>
      </c>
      <c r="F63" s="1128">
        <f t="shared" si="39"/>
        <v>793.03254625000011</v>
      </c>
      <c r="G63" s="1128">
        <f t="shared" si="39"/>
        <v>819.37846375000004</v>
      </c>
      <c r="H63" s="1128">
        <f t="shared" si="39"/>
        <v>845.72438125000008</v>
      </c>
      <c r="I63" s="1128">
        <f t="shared" si="39"/>
        <v>872.07029875000001</v>
      </c>
      <c r="J63" s="1128">
        <f t="shared" si="39"/>
        <v>898.41621625000005</v>
      </c>
      <c r="K63" s="1128">
        <f t="shared" si="39"/>
        <v>924.76213375000009</v>
      </c>
      <c r="L63" s="1128">
        <f t="shared" si="39"/>
        <v>951.10805125000002</v>
      </c>
      <c r="M63" s="1128">
        <f t="shared" si="39"/>
        <v>977.45396875000006</v>
      </c>
      <c r="N63" s="1128">
        <f t="shared" si="39"/>
        <v>1003.79988625</v>
      </c>
      <c r="O63" s="1128">
        <f t="shared" si="39"/>
        <v>1030.1458037500001</v>
      </c>
      <c r="P63" s="1128">
        <f t="shared" si="39"/>
        <v>1056.49172125</v>
      </c>
      <c r="Q63" s="1128">
        <f t="shared" si="39"/>
        <v>1082.83763875</v>
      </c>
      <c r="R63" s="1128">
        <f t="shared" si="39"/>
        <v>1109.18355625</v>
      </c>
      <c r="S63" s="1128">
        <f t="shared" si="39"/>
        <v>1135.5294737500001</v>
      </c>
      <c r="T63" s="1128">
        <f t="shared" si="39"/>
        <v>1161.8753912500001</v>
      </c>
      <c r="U63" s="1128">
        <f t="shared" si="39"/>
        <v>1188.2213087499999</v>
      </c>
      <c r="V63" s="1128">
        <f t="shared" si="39"/>
        <v>1214.56722625</v>
      </c>
      <c r="W63" s="1128">
        <f t="shared" si="39"/>
        <v>1240.91314375</v>
      </c>
      <c r="X63" s="1128">
        <f t="shared" si="39"/>
        <v>1267.2590612500001</v>
      </c>
      <c r="Y63" s="1128">
        <f t="shared" si="39"/>
        <v>1293.6049787500001</v>
      </c>
      <c r="Z63" s="1128">
        <f t="shared" si="39"/>
        <v>1319.9508962499999</v>
      </c>
      <c r="AA63" s="1128">
        <f t="shared" si="39"/>
        <v>1346.29681375</v>
      </c>
      <c r="AB63" s="1128">
        <f t="shared" si="39"/>
        <v>1372.64273125</v>
      </c>
    </row>
    <row r="64" spans="1:28" ht="16.5" thickBot="1" x14ac:dyDescent="0.3">
      <c r="A64" s="1410" t="s">
        <v>293</v>
      </c>
      <c r="B64" s="1411"/>
      <c r="C64" s="1411"/>
      <c r="D64" s="1411"/>
      <c r="E64" s="1412">
        <f t="shared" ref="E64:AB64" si="40">SUM(E61:E63)</f>
        <v>1471.4059338125003</v>
      </c>
      <c r="F64" s="1412">
        <f t="shared" si="40"/>
        <v>1503.0118333125006</v>
      </c>
      <c r="G64" s="1412">
        <f t="shared" si="40"/>
        <v>1534.8415810962506</v>
      </c>
      <c r="H64" s="1412">
        <f t="shared" si="40"/>
        <v>1566.8974156465881</v>
      </c>
      <c r="I64" s="1412">
        <f t="shared" si="40"/>
        <v>1599.1815978311788</v>
      </c>
      <c r="J64" s="1412">
        <f t="shared" si="40"/>
        <v>1631.6964111263655</v>
      </c>
      <c r="K64" s="1412">
        <f t="shared" si="40"/>
        <v>1664.4441618432547</v>
      </c>
      <c r="L64" s="1412">
        <f t="shared" si="40"/>
        <v>1697.427179356062</v>
      </c>
      <c r="M64" s="1412">
        <f t="shared" si="40"/>
        <v>1730.6478163327472</v>
      </c>
      <c r="N64" s="1412">
        <f t="shared" si="40"/>
        <v>1764.1084489679497</v>
      </c>
      <c r="O64" s="1412">
        <f t="shared" si="40"/>
        <v>1794.3959128326292</v>
      </c>
      <c r="P64" s="1412">
        <f t="shared" si="40"/>
        <v>1824.986251335956</v>
      </c>
      <c r="Q64" s="1412">
        <f t="shared" si="40"/>
        <v>1855.8824932243151</v>
      </c>
      <c r="R64" s="1412">
        <f t="shared" si="40"/>
        <v>1887.0876975315589</v>
      </c>
      <c r="S64" s="1412">
        <f t="shared" si="40"/>
        <v>1918.6049538818752</v>
      </c>
      <c r="T64" s="1412">
        <f t="shared" si="40"/>
        <v>1950.4373827956938</v>
      </c>
      <c r="U64" s="1412">
        <f t="shared" si="40"/>
        <v>1982.5881359986502</v>
      </c>
      <c r="V64" s="1412">
        <f t="shared" si="40"/>
        <v>2015.0603967336363</v>
      </c>
      <c r="W64" s="1412">
        <f t="shared" si="40"/>
        <v>2047.8573800759732</v>
      </c>
      <c r="X64" s="1412">
        <f t="shared" si="40"/>
        <v>2080.9823332517335</v>
      </c>
      <c r="Y64" s="1412">
        <f t="shared" si="40"/>
        <v>2114.4385359592507</v>
      </c>
      <c r="Z64" s="1412">
        <f t="shared" si="40"/>
        <v>2148.2293006938439</v>
      </c>
      <c r="AA64" s="1412">
        <f t="shared" si="40"/>
        <v>2182.3579730757783</v>
      </c>
      <c r="AB64" s="1419">
        <f t="shared" si="40"/>
        <v>2216.8279321815362</v>
      </c>
    </row>
    <row r="66" spans="1:29" ht="16.5" thickBot="1" x14ac:dyDescent="0.3">
      <c r="A66" s="671"/>
      <c r="B66" s="671"/>
      <c r="C66" s="671"/>
      <c r="D66" s="671"/>
      <c r="E66" s="1420"/>
      <c r="F66" s="671"/>
      <c r="G66" s="671"/>
      <c r="H66" s="671"/>
      <c r="I66" s="671"/>
      <c r="J66" s="671"/>
      <c r="K66" s="671"/>
      <c r="L66" s="671"/>
      <c r="M66" s="671"/>
      <c r="N66" s="671"/>
      <c r="O66" s="671"/>
    </row>
    <row r="67" spans="1:29" x14ac:dyDescent="0.25">
      <c r="A67" s="1304"/>
      <c r="B67" s="1304" t="s">
        <v>294</v>
      </c>
      <c r="C67" s="1304"/>
      <c r="D67" s="1046">
        <v>0</v>
      </c>
      <c r="E67" s="1046">
        <v>1</v>
      </c>
      <c r="F67" s="1046">
        <f t="shared" ref="F67:N67" si="41">E67+1</f>
        <v>2</v>
      </c>
      <c r="G67" s="1046">
        <f t="shared" si="41"/>
        <v>3</v>
      </c>
      <c r="H67" s="1046">
        <f t="shared" si="41"/>
        <v>4</v>
      </c>
      <c r="I67" s="1046">
        <f t="shared" si="41"/>
        <v>5</v>
      </c>
      <c r="J67" s="1046">
        <f t="shared" si="41"/>
        <v>6</v>
      </c>
      <c r="K67" s="1046">
        <f t="shared" si="41"/>
        <v>7</v>
      </c>
      <c r="L67" s="1046">
        <f t="shared" si="41"/>
        <v>8</v>
      </c>
      <c r="M67" s="1046">
        <f t="shared" si="41"/>
        <v>9</v>
      </c>
      <c r="N67" s="1046">
        <f t="shared" si="41"/>
        <v>10</v>
      </c>
      <c r="O67" s="1046">
        <f>N67+1</f>
        <v>11</v>
      </c>
      <c r="P67" s="1046">
        <f t="shared" ref="P67:AB67" si="42">O67+1</f>
        <v>12</v>
      </c>
      <c r="Q67" s="1046">
        <f t="shared" si="42"/>
        <v>13</v>
      </c>
      <c r="R67" s="1046">
        <f t="shared" si="42"/>
        <v>14</v>
      </c>
      <c r="S67" s="1046">
        <f t="shared" si="42"/>
        <v>15</v>
      </c>
      <c r="T67" s="1046">
        <f t="shared" si="42"/>
        <v>16</v>
      </c>
      <c r="U67" s="1046">
        <f t="shared" si="42"/>
        <v>17</v>
      </c>
      <c r="V67" s="1046">
        <f t="shared" si="42"/>
        <v>18</v>
      </c>
      <c r="W67" s="1046">
        <f t="shared" si="42"/>
        <v>19</v>
      </c>
      <c r="X67" s="1046">
        <f t="shared" si="42"/>
        <v>20</v>
      </c>
      <c r="Y67" s="1046">
        <f t="shared" si="42"/>
        <v>21</v>
      </c>
      <c r="Z67" s="1046">
        <f t="shared" si="42"/>
        <v>22</v>
      </c>
      <c r="AA67" s="1046">
        <f t="shared" si="42"/>
        <v>23</v>
      </c>
      <c r="AB67" s="1046">
        <f t="shared" si="42"/>
        <v>24</v>
      </c>
    </row>
    <row r="68" spans="1:29" x14ac:dyDescent="0.25">
      <c r="A68" s="1304"/>
      <c r="B68" s="1304" t="s">
        <v>295</v>
      </c>
      <c r="C68" s="1304"/>
      <c r="D68" s="1421">
        <f>+D54</f>
        <v>0</v>
      </c>
      <c r="E68" s="1421">
        <f t="shared" ref="E68:AB68" si="43">+E54</f>
        <v>1625.033268950001</v>
      </c>
      <c r="F68" s="1421">
        <f t="shared" si="43"/>
        <v>1662.1718111250007</v>
      </c>
      <c r="G68" s="1421">
        <f t="shared" si="43"/>
        <v>1699.5342015837509</v>
      </c>
      <c r="H68" s="1421">
        <f t="shared" si="43"/>
        <v>1737.122678809088</v>
      </c>
      <c r="I68" s="1421">
        <f t="shared" si="43"/>
        <v>1774.939503668679</v>
      </c>
      <c r="J68" s="1421">
        <f t="shared" si="43"/>
        <v>1812.9869596388658</v>
      </c>
      <c r="K68" s="1421">
        <f t="shared" si="43"/>
        <v>1851.2673530307547</v>
      </c>
      <c r="L68" s="1421">
        <f t="shared" si="43"/>
        <v>1889.7830132185622</v>
      </c>
      <c r="M68" s="1421">
        <f t="shared" si="43"/>
        <v>1928.5362928702475</v>
      </c>
      <c r="N68" s="1421">
        <f t="shared" si="43"/>
        <v>1967.52956818045</v>
      </c>
      <c r="O68" s="1421">
        <f t="shared" si="43"/>
        <v>2006.7652391057545</v>
      </c>
      <c r="P68" s="1421">
        <f t="shared" si="43"/>
        <v>2046.2457296023124</v>
      </c>
      <c r="Q68" s="1421">
        <f t="shared" si="43"/>
        <v>2085.9734878658355</v>
      </c>
      <c r="R68" s="1421">
        <f t="shared" si="43"/>
        <v>2125.9509865739938</v>
      </c>
      <c r="S68" s="1421">
        <f t="shared" si="43"/>
        <v>2166.1807231312341</v>
      </c>
      <c r="T68" s="1421">
        <f t="shared" si="43"/>
        <v>2206.6652199160467</v>
      </c>
      <c r="U68" s="1421">
        <f t="shared" si="43"/>
        <v>2247.4070245307066</v>
      </c>
      <c r="V68" s="1421">
        <f t="shared" si="43"/>
        <v>2288.4087100535139</v>
      </c>
      <c r="W68" s="1421">
        <f t="shared" si="43"/>
        <v>2329.6728752935492</v>
      </c>
      <c r="X68" s="1421">
        <f t="shared" si="43"/>
        <v>2371.2021450479847</v>
      </c>
      <c r="Y68" s="1421">
        <f t="shared" si="43"/>
        <v>2412.9991703619644</v>
      </c>
      <c r="Z68" s="1421">
        <f t="shared" si="43"/>
        <v>2455.0666287910844</v>
      </c>
      <c r="AA68" s="1421">
        <f t="shared" si="43"/>
        <v>2497.4072246664914</v>
      </c>
      <c r="AB68" s="1421">
        <f t="shared" si="43"/>
        <v>2540.0236893626566</v>
      </c>
    </row>
    <row r="69" spans="1:29" x14ac:dyDescent="0.25">
      <c r="A69" s="1304"/>
      <c r="B69" s="1304" t="s">
        <v>272</v>
      </c>
      <c r="C69" s="1304"/>
      <c r="D69" s="1422">
        <f>+D37</f>
        <v>0.11200000000000002</v>
      </c>
      <c r="E69" s="1422">
        <f t="shared" ref="E69:AB69" si="44">+E37</f>
        <v>0.11200000000000002</v>
      </c>
      <c r="F69" s="1422">
        <f t="shared" si="44"/>
        <v>0.11200000000000002</v>
      </c>
      <c r="G69" s="1422">
        <f t="shared" si="44"/>
        <v>0.11200000000000002</v>
      </c>
      <c r="H69" s="1422">
        <f t="shared" si="44"/>
        <v>0.11200000000000002</v>
      </c>
      <c r="I69" s="1422">
        <f t="shared" si="44"/>
        <v>0.11200000000000002</v>
      </c>
      <c r="J69" s="1422">
        <f t="shared" si="44"/>
        <v>0.11200000000000002</v>
      </c>
      <c r="K69" s="1422">
        <f t="shared" si="44"/>
        <v>0.11200000000000002</v>
      </c>
      <c r="L69" s="1422">
        <f t="shared" si="44"/>
        <v>0.11200000000000002</v>
      </c>
      <c r="M69" s="1422">
        <f t="shared" si="44"/>
        <v>0.11200000000000002</v>
      </c>
      <c r="N69" s="1422">
        <f t="shared" si="44"/>
        <v>0.11200000000000002</v>
      </c>
      <c r="O69" s="1422">
        <f t="shared" si="44"/>
        <v>0.11200000000000002</v>
      </c>
      <c r="P69" s="1422">
        <f t="shared" si="44"/>
        <v>0.11200000000000002</v>
      </c>
      <c r="Q69" s="1422">
        <f t="shared" si="44"/>
        <v>0.11200000000000002</v>
      </c>
      <c r="R69" s="1422">
        <f t="shared" si="44"/>
        <v>0.11200000000000002</v>
      </c>
      <c r="S69" s="1422">
        <f t="shared" si="44"/>
        <v>0.11200000000000002</v>
      </c>
      <c r="T69" s="1422">
        <f t="shared" si="44"/>
        <v>0.11200000000000002</v>
      </c>
      <c r="U69" s="1422">
        <f t="shared" si="44"/>
        <v>0.11200000000000002</v>
      </c>
      <c r="V69" s="1422">
        <f t="shared" si="44"/>
        <v>0.11200000000000002</v>
      </c>
      <c r="W69" s="1422">
        <f t="shared" si="44"/>
        <v>0.11200000000000002</v>
      </c>
      <c r="X69" s="1422">
        <f t="shared" si="44"/>
        <v>0.11200000000000002</v>
      </c>
      <c r="Y69" s="1422">
        <f t="shared" si="44"/>
        <v>0.11200000000000002</v>
      </c>
      <c r="Z69" s="1422">
        <f t="shared" si="44"/>
        <v>0.11200000000000002</v>
      </c>
      <c r="AA69" s="1422">
        <f t="shared" si="44"/>
        <v>0.11200000000000002</v>
      </c>
      <c r="AB69" s="1422">
        <f t="shared" si="44"/>
        <v>0.11200000000000002</v>
      </c>
      <c r="AC69" s="1422"/>
    </row>
    <row r="70" spans="1:29" x14ac:dyDescent="0.25">
      <c r="A70" s="1304"/>
      <c r="B70" s="1304" t="s">
        <v>296</v>
      </c>
      <c r="C70" s="1304"/>
      <c r="D70" s="1421">
        <f>1/(1+D69)^D67</f>
        <v>1</v>
      </c>
      <c r="E70" s="1423">
        <f>+D70/(1+E69)</f>
        <v>0.89928057553956831</v>
      </c>
      <c r="F70" s="1423">
        <f>+E70/(1+F69)</f>
        <v>0.80870555354277718</v>
      </c>
      <c r="G70" s="1423">
        <f t="shared" ref="G70:AB70" si="45">+F70/(1+G69)</f>
        <v>0.72725319563199375</v>
      </c>
      <c r="H70" s="1423">
        <f t="shared" si="45"/>
        <v>0.65400467233092963</v>
      </c>
      <c r="I70" s="1423">
        <f t="shared" si="45"/>
        <v>0.58813369813932515</v>
      </c>
      <c r="J70" s="1423">
        <f t="shared" si="45"/>
        <v>0.52889721055694705</v>
      </c>
      <c r="K70" s="1423">
        <f t="shared" si="45"/>
        <v>0.47562698791092356</v>
      </c>
      <c r="L70" s="1423">
        <f t="shared" si="45"/>
        <v>0.42772211143068661</v>
      </c>
      <c r="M70" s="1423">
        <f t="shared" si="45"/>
        <v>0.38464218653838722</v>
      </c>
      <c r="N70" s="1423">
        <f t="shared" si="45"/>
        <v>0.34590124688703883</v>
      </c>
      <c r="O70" s="1423">
        <f t="shared" si="45"/>
        <v>0.31106227238043055</v>
      </c>
      <c r="P70" s="1423">
        <f t="shared" si="45"/>
        <v>0.27973225933491952</v>
      </c>
      <c r="Q70" s="1423">
        <f t="shared" si="45"/>
        <v>0.25155778717169019</v>
      </c>
      <c r="R70" s="1423">
        <f t="shared" si="45"/>
        <v>0.22622103162921778</v>
      </c>
      <c r="S70" s="1423">
        <f t="shared" si="45"/>
        <v>0.20343617952267784</v>
      </c>
      <c r="T70" s="1423">
        <f t="shared" si="45"/>
        <v>0.18294620460672467</v>
      </c>
      <c r="U70" s="1423">
        <f t="shared" si="45"/>
        <v>0.16451996817151499</v>
      </c>
      <c r="V70" s="1423">
        <f t="shared" si="45"/>
        <v>0.14794961166503146</v>
      </c>
      <c r="W70" s="1423">
        <f t="shared" si="45"/>
        <v>0.13304821192898511</v>
      </c>
      <c r="X70" s="1423">
        <f t="shared" si="45"/>
        <v>0.11964767259800818</v>
      </c>
      <c r="Y70" s="1423">
        <f t="shared" si="45"/>
        <v>0.10759682787590663</v>
      </c>
      <c r="Z70" s="1423">
        <f t="shared" si="45"/>
        <v>9.6759737298477172E-2</v>
      </c>
      <c r="AA70" s="1423">
        <f t="shared" si="45"/>
        <v>8.7014152246831983E-2</v>
      </c>
      <c r="AB70" s="1423">
        <f t="shared" si="45"/>
        <v>7.8250136912618687E-2</v>
      </c>
    </row>
    <row r="71" spans="1:29" x14ac:dyDescent="0.25">
      <c r="A71" s="1304"/>
      <c r="B71" s="1304" t="s">
        <v>297</v>
      </c>
      <c r="C71" s="1304"/>
      <c r="D71" s="1421">
        <f>+D68*D70</f>
        <v>0</v>
      </c>
      <c r="E71" s="1421">
        <f>+E68*E70</f>
        <v>1461.3608533723029</v>
      </c>
      <c r="F71" s="1421">
        <f t="shared" ref="F71:AB71" si="46">+F68*F70</f>
        <v>1344.2075745990442</v>
      </c>
      <c r="G71" s="1421">
        <f t="shared" si="46"/>
        <v>1235.9916791876519</v>
      </c>
      <c r="H71" s="1421">
        <f t="shared" si="46"/>
        <v>1136.0863483531643</v>
      </c>
      <c r="I71" s="1421">
        <f t="shared" si="46"/>
        <v>1043.9017342662385</v>
      </c>
      <c r="J71" s="1421">
        <f t="shared" si="46"/>
        <v>958.88374572911641</v>
      </c>
      <c r="K71" s="1421">
        <f t="shared" si="46"/>
        <v>880.51271493984621</v>
      </c>
      <c r="L71" s="1421">
        <f t="shared" si="46"/>
        <v>808.30198055968856</v>
      </c>
      <c r="M71" s="1421">
        <f t="shared" si="46"/>
        <v>741.79641650824749</v>
      </c>
      <c r="N71" s="1421">
        <f t="shared" si="46"/>
        <v>680.57093092073478</v>
      </c>
      <c r="O71" s="1421">
        <f t="shared" si="46"/>
        <v>624.22895541029402</v>
      </c>
      <c r="P71" s="1421">
        <f t="shared" si="46"/>
        <v>572.4009410960856</v>
      </c>
      <c r="Q71" s="1421">
        <f t="shared" si="46"/>
        <v>524.74287470634215</v>
      </c>
      <c r="R71" s="1421">
        <f t="shared" si="46"/>
        <v>480.93482537592217</v>
      </c>
      <c r="S71" s="1421">
        <f t="shared" si="46"/>
        <v>440.67953046948986</v>
      </c>
      <c r="T71" s="1421">
        <f t="shared" si="46"/>
        <v>403.7010268213042</v>
      </c>
      <c r="U71" s="1421">
        <f t="shared" si="46"/>
        <v>369.74333214423103</v>
      </c>
      <c r="V71" s="1421">
        <f t="shared" si="46"/>
        <v>338.56917998329294</v>
      </c>
      <c r="W71" s="1421">
        <f t="shared" si="46"/>
        <v>309.95881043726422</v>
      </c>
      <c r="X71" s="1421">
        <f t="shared" si="46"/>
        <v>283.70881791439598</v>
      </c>
      <c r="Y71" s="1421">
        <f t="shared" si="46"/>
        <v>259.63105639814177</v>
      </c>
      <c r="Z71" s="1421">
        <f t="shared" si="46"/>
        <v>237.5516020520833</v>
      </c>
      <c r="AA71" s="1421">
        <f t="shared" si="46"/>
        <v>217.30977246946821</v>
      </c>
      <c r="AB71" s="1421">
        <f t="shared" si="46"/>
        <v>198.7572014539227</v>
      </c>
    </row>
    <row r="72" spans="1:29" x14ac:dyDescent="0.25">
      <c r="A72" s="1304"/>
      <c r="B72" s="819" t="s">
        <v>298</v>
      </c>
      <c r="C72" s="1304"/>
      <c r="D72" s="1424">
        <f>+SUM(E71:N71)</f>
        <v>10291.613978436033</v>
      </c>
      <c r="E72" s="1424">
        <f>+SUM(F71:O71)/E70</f>
        <v>10513.384073487117</v>
      </c>
      <c r="F72" s="1424">
        <f t="shared" ref="F72:Q72" si="47">+SUM(G71:P71)/F70</f>
        <v>10736.510227899395</v>
      </c>
      <c r="G72" s="1424">
        <f t="shared" si="47"/>
        <v>10961.006002266475</v>
      </c>
      <c r="H72" s="1424">
        <f t="shared" si="47"/>
        <v>11186.885092787907</v>
      </c>
      <c r="I72" s="1424">
        <f t="shared" si="47"/>
        <v>11414.161332625235</v>
      </c>
      <c r="J72" s="1424">
        <f t="shared" si="47"/>
        <v>11642.848693271621</v>
      </c>
      <c r="K72" s="1424">
        <f t="shared" si="47"/>
        <v>11872.961285935149</v>
      </c>
      <c r="L72" s="1424">
        <f t="shared" si="47"/>
        <v>12104.513362935995</v>
      </c>
      <c r="M72" s="1424">
        <f t="shared" si="47"/>
        <v>12337.519319117531</v>
      </c>
      <c r="N72" s="1424">
        <f t="shared" si="47"/>
        <v>12571.993693271563</v>
      </c>
      <c r="O72" s="1424">
        <f t="shared" si="47"/>
        <v>12807.951169577822</v>
      </c>
      <c r="P72" s="1424">
        <f t="shared" si="47"/>
        <v>13045.406579057821</v>
      </c>
      <c r="Q72" s="1424">
        <f t="shared" si="47"/>
        <v>13284.3749010433</v>
      </c>
      <c r="R72" s="1424"/>
      <c r="S72" s="1424"/>
      <c r="T72" s="1424"/>
      <c r="U72" s="1424"/>
      <c r="V72" s="1424"/>
    </row>
    <row r="73" spans="1:29" ht="16.5" thickBot="1" x14ac:dyDescent="0.3">
      <c r="A73" s="1304"/>
      <c r="B73" s="819" t="s">
        <v>299</v>
      </c>
      <c r="C73" s="1304"/>
      <c r="D73" s="1424">
        <f>+O68/(O69-O$29)*N70</f>
        <v>6805.3195923161466</v>
      </c>
      <c r="E73" s="1424">
        <f>+P68/(P69-P$29)*O70/E70</f>
        <v>6939.2053853599818</v>
      </c>
      <c r="F73" s="1424">
        <f t="shared" ref="F73:Q73" si="48">+Q68/(Q69-Q$29)*P70/F70</f>
        <v>7073.9297100597805</v>
      </c>
      <c r="G73" s="1424">
        <f t="shared" si="48"/>
        <v>7209.5009517321032</v>
      </c>
      <c r="H73" s="1424">
        <f t="shared" si="48"/>
        <v>7345.9275795466774</v>
      </c>
      <c r="I73" s="1424">
        <f t="shared" si="48"/>
        <v>7483.2181473649225</v>
      </c>
      <c r="J73" s="1424">
        <f t="shared" si="48"/>
        <v>7621.3812945868713</v>
      </c>
      <c r="K73" s="1424">
        <f t="shared" si="48"/>
        <v>7760.4257470065722</v>
      </c>
      <c r="L73" s="1424">
        <f t="shared" si="48"/>
        <v>7900.3603176759934</v>
      </c>
      <c r="M73" s="1424">
        <f t="shared" si="48"/>
        <v>8041.193907777636</v>
      </c>
      <c r="N73" s="1424">
        <f t="shared" si="48"/>
        <v>8182.9355075058184</v>
      </c>
      <c r="O73" s="1424">
        <f t="shared" si="48"/>
        <v>8325.5941969568121</v>
      </c>
      <c r="P73" s="1424">
        <f t="shared" si="48"/>
        <v>8469.1791470278276</v>
      </c>
      <c r="Q73" s="1424">
        <f t="shared" si="48"/>
        <v>8613.699620325091</v>
      </c>
      <c r="R73" s="1424"/>
      <c r="S73" s="1424"/>
      <c r="T73" s="1424"/>
      <c r="U73" s="1424"/>
      <c r="V73" s="1424"/>
    </row>
    <row r="74" spans="1:29" ht="16.5" thickBot="1" x14ac:dyDescent="0.3">
      <c r="A74" s="671"/>
      <c r="B74" s="1425" t="s">
        <v>300</v>
      </c>
      <c r="C74" s="1148"/>
      <c r="D74" s="1426">
        <f>+D72+D73</f>
        <v>17096.933570752179</v>
      </c>
      <c r="E74" s="1426">
        <f t="shared" ref="E74:Q74" si="49">+E72+E73</f>
        <v>17452.589458847098</v>
      </c>
      <c r="F74" s="1426">
        <f t="shared" si="49"/>
        <v>17810.439937959174</v>
      </c>
      <c r="G74" s="1426">
        <f t="shared" si="49"/>
        <v>18170.506953998578</v>
      </c>
      <c r="H74" s="1426">
        <f t="shared" si="49"/>
        <v>18532.812672334585</v>
      </c>
      <c r="I74" s="1426">
        <f t="shared" si="49"/>
        <v>18897.379479990159</v>
      </c>
      <c r="J74" s="1426">
        <f t="shared" si="49"/>
        <v>19264.229987858493</v>
      </c>
      <c r="K74" s="1426">
        <f t="shared" si="49"/>
        <v>19633.387032941722</v>
      </c>
      <c r="L74" s="1426">
        <f t="shared" si="49"/>
        <v>20004.873680611989</v>
      </c>
      <c r="M74" s="1426">
        <f t="shared" si="49"/>
        <v>20378.713226895168</v>
      </c>
      <c r="N74" s="1426">
        <f t="shared" si="49"/>
        <v>20754.92920077738</v>
      </c>
      <c r="O74" s="1426">
        <f t="shared" si="49"/>
        <v>21133.545366534636</v>
      </c>
      <c r="P74" s="1426">
        <f t="shared" si="49"/>
        <v>21514.58572608565</v>
      </c>
      <c r="Q74" s="1426">
        <f t="shared" si="49"/>
        <v>21898.074521368391</v>
      </c>
    </row>
    <row r="75" spans="1:29" ht="16.5" thickBot="1" x14ac:dyDescent="0.3">
      <c r="A75" s="671"/>
      <c r="B75" s="1304" t="s">
        <v>301</v>
      </c>
      <c r="C75" s="768"/>
      <c r="D75" s="1128">
        <f>-D14</f>
        <v>-10764.481</v>
      </c>
      <c r="E75" s="1128">
        <f t="shared" ref="E75:Q75" si="50">-E14</f>
        <v>-11140.85125</v>
      </c>
      <c r="F75" s="1128">
        <f t="shared" si="50"/>
        <v>-11517.2215</v>
      </c>
      <c r="G75" s="1128">
        <f t="shared" si="50"/>
        <v>-11893.59175</v>
      </c>
      <c r="H75" s="1128">
        <f t="shared" si="50"/>
        <v>-12269.962</v>
      </c>
      <c r="I75" s="1128">
        <f t="shared" si="50"/>
        <v>-12646.332249999999</v>
      </c>
      <c r="J75" s="1128">
        <f t="shared" si="50"/>
        <v>-13022.702499999999</v>
      </c>
      <c r="K75" s="1128">
        <f t="shared" si="50"/>
        <v>-13399.072749999999</v>
      </c>
      <c r="L75" s="1128">
        <f t="shared" si="50"/>
        <v>-13775.442999999999</v>
      </c>
      <c r="M75" s="1128">
        <f t="shared" si="50"/>
        <v>-14151.813249999999</v>
      </c>
      <c r="N75" s="1128">
        <f t="shared" si="50"/>
        <v>-14528.183499999999</v>
      </c>
      <c r="O75" s="1128">
        <f t="shared" si="50"/>
        <v>-14904.553749999999</v>
      </c>
      <c r="P75" s="1128">
        <f t="shared" si="50"/>
        <v>-15280.923999999999</v>
      </c>
      <c r="Q75" s="1128">
        <f t="shared" si="50"/>
        <v>-15657.294249999999</v>
      </c>
    </row>
    <row r="76" spans="1:29" ht="16.5" thickBot="1" x14ac:dyDescent="0.3">
      <c r="A76" s="1427" t="s">
        <v>302</v>
      </c>
      <c r="B76" s="1428" t="s">
        <v>303</v>
      </c>
      <c r="C76" s="1429"/>
      <c r="D76" s="1430">
        <f t="shared" ref="D76:Q76" si="51">+D74+D75</f>
        <v>6332.4525707521789</v>
      </c>
      <c r="E76" s="1430">
        <f t="shared" si="51"/>
        <v>6311.7382088470986</v>
      </c>
      <c r="F76" s="1430">
        <f t="shared" si="51"/>
        <v>6293.2184379591745</v>
      </c>
      <c r="G76" s="1430">
        <f t="shared" si="51"/>
        <v>6276.9152039985784</v>
      </c>
      <c r="H76" s="1430">
        <f t="shared" si="51"/>
        <v>6262.8506723345854</v>
      </c>
      <c r="I76" s="1430">
        <f t="shared" si="51"/>
        <v>6251.0472299901594</v>
      </c>
      <c r="J76" s="1430">
        <f t="shared" si="51"/>
        <v>6241.5274878584933</v>
      </c>
      <c r="K76" s="1430">
        <f t="shared" si="51"/>
        <v>6234.3142829417229</v>
      </c>
      <c r="L76" s="1430">
        <f t="shared" si="51"/>
        <v>6229.4306806119894</v>
      </c>
      <c r="M76" s="1430">
        <f t="shared" si="51"/>
        <v>6226.8999768951689</v>
      </c>
      <c r="N76" s="1430">
        <f t="shared" si="51"/>
        <v>6226.745700777381</v>
      </c>
      <c r="O76" s="1430">
        <f t="shared" si="51"/>
        <v>6228.9916165346367</v>
      </c>
      <c r="P76" s="1430">
        <f t="shared" si="51"/>
        <v>6233.661726085651</v>
      </c>
      <c r="Q76" s="1430">
        <f t="shared" si="51"/>
        <v>6240.7802713683923</v>
      </c>
    </row>
    <row r="77" spans="1:29" ht="16.5" thickBot="1" x14ac:dyDescent="0.3"/>
    <row r="78" spans="1:29" x14ac:dyDescent="0.25">
      <c r="A78" s="1304"/>
      <c r="B78" s="1304" t="s">
        <v>304</v>
      </c>
      <c r="C78" s="1304"/>
      <c r="D78" s="1046">
        <v>0</v>
      </c>
      <c r="E78" s="1046">
        <v>1</v>
      </c>
      <c r="F78" s="1046">
        <f t="shared" ref="F78:N78" si="52">E78+1</f>
        <v>2</v>
      </c>
      <c r="G78" s="1046">
        <f t="shared" si="52"/>
        <v>3</v>
      </c>
      <c r="H78" s="1046">
        <f t="shared" si="52"/>
        <v>4</v>
      </c>
      <c r="I78" s="1046">
        <f t="shared" si="52"/>
        <v>5</v>
      </c>
      <c r="J78" s="1046">
        <f t="shared" si="52"/>
        <v>6</v>
      </c>
      <c r="K78" s="1046">
        <f t="shared" si="52"/>
        <v>7</v>
      </c>
      <c r="L78" s="1046">
        <f t="shared" si="52"/>
        <v>8</v>
      </c>
      <c r="M78" s="1046">
        <f t="shared" si="52"/>
        <v>9</v>
      </c>
      <c r="N78" s="1046">
        <f t="shared" si="52"/>
        <v>10</v>
      </c>
      <c r="O78" s="1046">
        <f>N78+1</f>
        <v>11</v>
      </c>
      <c r="P78" s="1046">
        <f t="shared" ref="P78:AB78" si="53">O78+1</f>
        <v>12</v>
      </c>
      <c r="Q78" s="1046">
        <f t="shared" si="53"/>
        <v>13</v>
      </c>
      <c r="R78" s="1046">
        <f t="shared" si="53"/>
        <v>14</v>
      </c>
      <c r="S78" s="1046">
        <f t="shared" si="53"/>
        <v>15</v>
      </c>
      <c r="T78" s="1046">
        <f t="shared" si="53"/>
        <v>16</v>
      </c>
      <c r="U78" s="1046">
        <f t="shared" si="53"/>
        <v>17</v>
      </c>
      <c r="V78" s="1046">
        <f t="shared" si="53"/>
        <v>18</v>
      </c>
      <c r="W78" s="1046">
        <f t="shared" si="53"/>
        <v>19</v>
      </c>
      <c r="X78" s="1046">
        <f t="shared" si="53"/>
        <v>20</v>
      </c>
      <c r="Y78" s="1046">
        <f t="shared" si="53"/>
        <v>21</v>
      </c>
      <c r="Z78" s="1046">
        <f t="shared" si="53"/>
        <v>22</v>
      </c>
      <c r="AA78" s="1046">
        <f t="shared" si="53"/>
        <v>23</v>
      </c>
      <c r="AB78" s="1046">
        <f t="shared" si="53"/>
        <v>24</v>
      </c>
    </row>
    <row r="79" spans="1:29" x14ac:dyDescent="0.25">
      <c r="A79" s="1304"/>
      <c r="B79" s="1304" t="s">
        <v>305</v>
      </c>
      <c r="C79" s="1304"/>
      <c r="D79" s="1421">
        <f t="shared" ref="D79:AB79" si="54">+D52</f>
        <v>0</v>
      </c>
      <c r="E79" s="1421">
        <f t="shared" si="54"/>
        <v>1203.0656137500009</v>
      </c>
      <c r="F79" s="1421">
        <f t="shared" si="54"/>
        <v>1225.4504421250006</v>
      </c>
      <c r="G79" s="1421">
        <f t="shared" si="54"/>
        <v>1248.0591187837508</v>
      </c>
      <c r="H79" s="1421">
        <f t="shared" si="54"/>
        <v>1270.8938822090881</v>
      </c>
      <c r="I79" s="1421">
        <f t="shared" si="54"/>
        <v>1293.9569932686791</v>
      </c>
      <c r="J79" s="1421">
        <f t="shared" si="54"/>
        <v>1317.2507354388658</v>
      </c>
      <c r="K79" s="1421">
        <f t="shared" si="54"/>
        <v>1340.7774150307548</v>
      </c>
      <c r="L79" s="1421">
        <f t="shared" si="54"/>
        <v>1364.5393614185623</v>
      </c>
      <c r="M79" s="1421">
        <f t="shared" si="54"/>
        <v>1388.5389272702475</v>
      </c>
      <c r="N79" s="1421">
        <f t="shared" si="54"/>
        <v>1412.7784887804501</v>
      </c>
      <c r="O79" s="1421">
        <f t="shared" si="54"/>
        <v>1437.2604459057545</v>
      </c>
      <c r="P79" s="1421">
        <f t="shared" si="54"/>
        <v>1461.9872226023124</v>
      </c>
      <c r="Q79" s="1421">
        <f t="shared" si="54"/>
        <v>1486.9612670658355</v>
      </c>
      <c r="R79" s="1421">
        <f t="shared" si="54"/>
        <v>1512.185051973994</v>
      </c>
      <c r="S79" s="1421">
        <f t="shared" si="54"/>
        <v>1537.6610747312343</v>
      </c>
      <c r="T79" s="1421">
        <f t="shared" si="54"/>
        <v>1563.3918577160466</v>
      </c>
      <c r="U79" s="1421">
        <f t="shared" si="54"/>
        <v>1589.3799485307068</v>
      </c>
      <c r="V79" s="1421">
        <f t="shared" si="54"/>
        <v>1615.6279202535138</v>
      </c>
      <c r="W79" s="1421">
        <f t="shared" si="54"/>
        <v>1642.1383716935491</v>
      </c>
      <c r="X79" s="1421">
        <f t="shared" si="54"/>
        <v>1668.9139276479846</v>
      </c>
      <c r="Y79" s="1421">
        <f t="shared" si="54"/>
        <v>1695.9572391619645</v>
      </c>
      <c r="Z79" s="1421">
        <f t="shared" si="54"/>
        <v>1723.2709837910845</v>
      </c>
      <c r="AA79" s="1421">
        <f t="shared" si="54"/>
        <v>1750.8578658664915</v>
      </c>
      <c r="AB79" s="1421">
        <f t="shared" si="54"/>
        <v>1778.7206167626566</v>
      </c>
    </row>
    <row r="80" spans="1:29" x14ac:dyDescent="0.25">
      <c r="A80" s="1304"/>
      <c r="B80" s="1304" t="s">
        <v>278</v>
      </c>
      <c r="C80" s="1304"/>
      <c r="D80" s="1422">
        <f t="shared" ref="D80:AB80" si="55">+D40</f>
        <v>0</v>
      </c>
      <c r="E80" s="1422">
        <f t="shared" si="55"/>
        <v>8.797846550888877E-2</v>
      </c>
      <c r="F80" s="1422">
        <f t="shared" si="55"/>
        <v>8.7618450076428711E-2</v>
      </c>
      <c r="G80" s="1422">
        <f t="shared" si="55"/>
        <v>8.7275353355178914E-2</v>
      </c>
      <c r="H80" s="1422">
        <f t="shared" si="55"/>
        <v>8.6948324484288131E-2</v>
      </c>
      <c r="I80" s="1422">
        <f t="shared" si="55"/>
        <v>8.6636569869404365E-2</v>
      </c>
      <c r="J80" s="1422">
        <f t="shared" si="55"/>
        <v>8.6339348545231745E-2</v>
      </c>
      <c r="K80" s="1422">
        <f t="shared" si="55"/>
        <v>8.6055967979117326E-2</v>
      </c>
      <c r="L80" s="1422">
        <f t="shared" si="55"/>
        <v>8.5785780266562611E-2</v>
      </c>
      <c r="M80" s="1422">
        <f t="shared" si="55"/>
        <v>8.5528178675701366E-2</v>
      </c>
      <c r="N80" s="1422">
        <f t="shared" si="55"/>
        <v>8.5282594503092321E-2</v>
      </c>
      <c r="O80" s="1422">
        <f t="shared" si="55"/>
        <v>8.5048494207767833E-2</v>
      </c>
      <c r="P80" s="1422">
        <f t="shared" si="55"/>
        <v>8.4825376794465279E-2</v>
      </c>
      <c r="Q80" s="1422">
        <f t="shared" si="55"/>
        <v>8.4612771420429361E-2</v>
      </c>
      <c r="R80" s="1422">
        <f t="shared" si="55"/>
        <v>8.4612771420429361E-2</v>
      </c>
      <c r="S80" s="1422">
        <f t="shared" si="55"/>
        <v>8.4612771420429361E-2</v>
      </c>
      <c r="T80" s="1422">
        <f t="shared" si="55"/>
        <v>8.4612771420429361E-2</v>
      </c>
      <c r="U80" s="1422">
        <f t="shared" si="55"/>
        <v>8.4612771420429361E-2</v>
      </c>
      <c r="V80" s="1422">
        <f t="shared" si="55"/>
        <v>8.4612771420429361E-2</v>
      </c>
      <c r="W80" s="1422">
        <f t="shared" si="55"/>
        <v>8.4612771420429361E-2</v>
      </c>
      <c r="X80" s="1422">
        <f t="shared" si="55"/>
        <v>8.4612771420429361E-2</v>
      </c>
      <c r="Y80" s="1422">
        <f t="shared" si="55"/>
        <v>8.4612771420429361E-2</v>
      </c>
      <c r="Z80" s="1422">
        <f t="shared" si="55"/>
        <v>8.4612771420429361E-2</v>
      </c>
      <c r="AA80" s="1422">
        <f t="shared" si="55"/>
        <v>8.4612771420429361E-2</v>
      </c>
      <c r="AB80" s="1422">
        <f t="shared" si="55"/>
        <v>0</v>
      </c>
      <c r="AC80" s="1422"/>
    </row>
    <row r="81" spans="1:29" x14ac:dyDescent="0.25">
      <c r="A81" s="1304"/>
      <c r="B81" s="1304" t="s">
        <v>296</v>
      </c>
      <c r="C81" s="1304"/>
      <c r="D81" s="1421">
        <f>1/(1+D80)^D78</f>
        <v>1</v>
      </c>
      <c r="E81" s="1423">
        <f>+D81/(1+E80)</f>
        <v>0.91913583926705933</v>
      </c>
      <c r="F81" s="1423">
        <f>+E81/(1+F80)</f>
        <v>0.84509033402519984</v>
      </c>
      <c r="G81" s="1423">
        <f t="shared" ref="G81:AB81" si="56">+F81/(1+G80)</f>
        <v>0.77725511887800081</v>
      </c>
      <c r="H81" s="1423">
        <f t="shared" si="56"/>
        <v>0.71508010212608419</v>
      </c>
      <c r="I81" s="1423">
        <f t="shared" si="56"/>
        <v>0.658067399859389</v>
      </c>
      <c r="J81" s="1423">
        <f t="shared" si="56"/>
        <v>0.6057659613827282</v>
      </c>
      <c r="K81" s="1423">
        <f t="shared" si="56"/>
        <v>0.55776679954156461</v>
      </c>
      <c r="L81" s="1423">
        <f t="shared" si="56"/>
        <v>0.51369875133622733</v>
      </c>
      <c r="M81" s="1423">
        <f t="shared" si="56"/>
        <v>0.47322470427522034</v>
      </c>
      <c r="N81" s="1423">
        <f t="shared" si="56"/>
        <v>0.43603823250467871</v>
      </c>
      <c r="O81" s="1423">
        <f t="shared" si="56"/>
        <v>0.40186059409542391</v>
      </c>
      <c r="P81" s="1423">
        <f t="shared" si="56"/>
        <v>0.37043804716559631</v>
      </c>
      <c r="Q81" s="1423">
        <f t="shared" si="56"/>
        <v>0.34153944792708241</v>
      </c>
      <c r="R81" s="1423">
        <f t="shared" si="56"/>
        <v>0.31489528514383608</v>
      </c>
      <c r="S81" s="1423">
        <f t="shared" si="56"/>
        <v>0.29032968580246687</v>
      </c>
      <c r="T81" s="1423">
        <f t="shared" si="56"/>
        <v>0.26768049708860203</v>
      </c>
      <c r="U81" s="1423">
        <f t="shared" si="56"/>
        <v>0.24679821604722815</v>
      </c>
      <c r="V81" s="1423">
        <f t="shared" si="56"/>
        <v>0.22754500274233036</v>
      </c>
      <c r="W81" s="1423">
        <f t="shared" si="56"/>
        <v>0.20979377040188557</v>
      </c>
      <c r="X81" s="1423">
        <f t="shared" si="56"/>
        <v>0.19342734654243068</v>
      </c>
      <c r="Y81" s="1423">
        <f t="shared" si="56"/>
        <v>0.17833769953595011</v>
      </c>
      <c r="Z81" s="1423">
        <f t="shared" si="56"/>
        <v>0.16442522551379851</v>
      </c>
      <c r="AA81" s="1423">
        <f t="shared" si="56"/>
        <v>0.15159809090064846</v>
      </c>
      <c r="AB81" s="1423">
        <f t="shared" si="56"/>
        <v>0.15159809090064846</v>
      </c>
    </row>
    <row r="82" spans="1:29" x14ac:dyDescent="0.25">
      <c r="A82" s="1304"/>
      <c r="B82" s="1304" t="s">
        <v>297</v>
      </c>
      <c r="C82" s="1304"/>
      <c r="D82" s="1421">
        <f>+D79*D81</f>
        <v>0</v>
      </c>
      <c r="E82" s="1421">
        <f>+E79*E81</f>
        <v>1105.7807225874469</v>
      </c>
      <c r="F82" s="1421">
        <f t="shared" ref="F82:AB82" si="57">+F79*F81</f>
        <v>1035.6163234667456</v>
      </c>
      <c r="G82" s="1421">
        <f t="shared" si="57"/>
        <v>970.06033873703723</v>
      </c>
      <c r="H82" s="1421">
        <f t="shared" si="57"/>
        <v>908.79092708149039</v>
      </c>
      <c r="I82" s="1421">
        <f t="shared" si="57"/>
        <v>851.5109140901925</v>
      </c>
      <c r="J82" s="1421">
        <f t="shared" si="57"/>
        <v>797.94565813523036</v>
      </c>
      <c r="K82" s="1421">
        <f t="shared" si="57"/>
        <v>747.84112767931617</v>
      </c>
      <c r="L82" s="1421">
        <f t="shared" si="57"/>
        <v>700.96216610984845</v>
      </c>
      <c r="M82" s="1421">
        <f t="shared" si="57"/>
        <v>657.09092323209461</v>
      </c>
      <c r="N82" s="1421">
        <f t="shared" si="57"/>
        <v>616.02543516845856</v>
      </c>
      <c r="O82" s="1421">
        <f t="shared" si="57"/>
        <v>577.57833666154033</v>
      </c>
      <c r="P82" s="1421">
        <f t="shared" si="57"/>
        <v>541.57569172185458</v>
      </c>
      <c r="Q82" s="1421">
        <f t="shared" si="57"/>
        <v>507.85593024262039</v>
      </c>
      <c r="R82" s="1421">
        <f t="shared" si="57"/>
        <v>476.17994313159738</v>
      </c>
      <c r="S82" s="1421">
        <f t="shared" si="57"/>
        <v>446.4286566974028</v>
      </c>
      <c r="T82" s="1421">
        <f t="shared" si="57"/>
        <v>418.48950961770436</v>
      </c>
      <c r="U82" s="1421">
        <f t="shared" si="57"/>
        <v>392.25613591861372</v>
      </c>
      <c r="V82" s="1421">
        <f t="shared" si="57"/>
        <v>367.62805954467132</v>
      </c>
      <c r="W82" s="1421">
        <f t="shared" si="57"/>
        <v>344.51040051920268</v>
      </c>
      <c r="X82" s="1421">
        <f t="shared" si="57"/>
        <v>322.8135926326558</v>
      </c>
      <c r="Y82" s="1421">
        <f t="shared" si="57"/>
        <v>302.45311254348587</v>
      </c>
      <c r="Z82" s="1421">
        <f t="shared" si="57"/>
        <v>283.34922013123452</v>
      </c>
      <c r="AA82" s="1421">
        <f t="shared" si="57"/>
        <v>265.42670990374376</v>
      </c>
      <c r="AB82" s="1421">
        <f t="shared" si="57"/>
        <v>269.6506497468427</v>
      </c>
    </row>
    <row r="83" spans="1:29" x14ac:dyDescent="0.25">
      <c r="A83" s="1304"/>
      <c r="B83" s="1304" t="s">
        <v>306</v>
      </c>
      <c r="C83" s="1304"/>
      <c r="D83" s="1424">
        <f>+SUM(E82:N82)</f>
        <v>8391.6245362878599</v>
      </c>
      <c r="E83" s="1424">
        <f>+SUM(F82:O82)/E81</f>
        <v>8555.2339647994067</v>
      </c>
      <c r="F83" s="1424">
        <f t="shared" ref="F83:N83" si="58">+SUM(G82:P82)/F81</f>
        <v>8720.2293315986681</v>
      </c>
      <c r="G83" s="1424">
        <f t="shared" si="58"/>
        <v>8886.6280097240615</v>
      </c>
      <c r="H83" s="1424">
        <f t="shared" si="58"/>
        <v>9054.3228750492453</v>
      </c>
      <c r="I83" s="1424">
        <f t="shared" si="58"/>
        <v>9223.1948734686539</v>
      </c>
      <c r="J83" s="1424">
        <f t="shared" si="58"/>
        <v>9393.1123288510898</v>
      </c>
      <c r="K83" s="1424">
        <f t="shared" si="58"/>
        <v>9563.9301817285996</v>
      </c>
      <c r="L83" s="1424">
        <f t="shared" si="58"/>
        <v>9735.489153765182</v>
      </c>
      <c r="M83" s="1424">
        <f t="shared" si="58"/>
        <v>9907.6148325867798</v>
      </c>
      <c r="N83" s="1424">
        <f t="shared" si="58"/>
        <v>10080.116671055219</v>
      </c>
      <c r="O83" s="1421"/>
    </row>
    <row r="84" spans="1:29" ht="16.5" thickBot="1" x14ac:dyDescent="0.3">
      <c r="A84" s="1304"/>
      <c r="B84" s="1304" t="s">
        <v>307</v>
      </c>
      <c r="C84" s="1304"/>
      <c r="D84" s="1424">
        <f>+O79/(O80-O$29)*N81</f>
        <v>8350.6073119421162</v>
      </c>
      <c r="E84" s="1424">
        <f t="shared" ref="E84:N84" si="59">+P79/(P80-P$29)*O81/E81</f>
        <v>8542.6061868081397</v>
      </c>
      <c r="F84" s="1424">
        <f t="shared" si="59"/>
        <v>8735.7246369233071</v>
      </c>
      <c r="G84" s="1424">
        <f t="shared" si="59"/>
        <v>8905.7202779335203</v>
      </c>
      <c r="H84" s="1424">
        <f t="shared" si="59"/>
        <v>9075.2565988245315</v>
      </c>
      <c r="I84" s="1424">
        <f t="shared" si="59"/>
        <v>9244.3364087127156</v>
      </c>
      <c r="J84" s="1424">
        <f t="shared" si="59"/>
        <v>9412.9645226459634</v>
      </c>
      <c r="K84" s="1424">
        <f t="shared" si="59"/>
        <v>9581.1476819397121</v>
      </c>
      <c r="L84" s="1424">
        <f t="shared" si="59"/>
        <v>9748.8944787949586</v>
      </c>
      <c r="M84" s="1424">
        <f t="shared" si="59"/>
        <v>9916.2152850066632</v>
      </c>
      <c r="N84" s="1424">
        <f t="shared" si="59"/>
        <v>10083.122184571648</v>
      </c>
      <c r="O84" s="1421"/>
    </row>
    <row r="85" spans="1:29" ht="16.5" thickBot="1" x14ac:dyDescent="0.3">
      <c r="A85" s="671"/>
      <c r="B85" s="1147" t="s">
        <v>300</v>
      </c>
      <c r="C85" s="1148"/>
      <c r="D85" s="1426">
        <f>+D83+D84</f>
        <v>16742.231848229974</v>
      </c>
      <c r="E85" s="1426">
        <f t="shared" ref="E85:N85" si="60">+E83+E84</f>
        <v>17097.840151607546</v>
      </c>
      <c r="F85" s="1426">
        <f t="shared" si="60"/>
        <v>17455.953968521975</v>
      </c>
      <c r="G85" s="1426">
        <f t="shared" si="60"/>
        <v>17792.34828765758</v>
      </c>
      <c r="H85" s="1426">
        <f t="shared" si="60"/>
        <v>18129.579473873775</v>
      </c>
      <c r="I85" s="1426">
        <f t="shared" si="60"/>
        <v>18467.531282181371</v>
      </c>
      <c r="J85" s="1426">
        <f t="shared" si="60"/>
        <v>18806.076851497055</v>
      </c>
      <c r="K85" s="1426">
        <f t="shared" si="60"/>
        <v>19145.07786366831</v>
      </c>
      <c r="L85" s="1426">
        <f t="shared" si="60"/>
        <v>19484.383632560141</v>
      </c>
      <c r="M85" s="1426">
        <f t="shared" si="60"/>
        <v>19823.830117593443</v>
      </c>
      <c r="N85" s="1426">
        <f t="shared" si="60"/>
        <v>20163.238855626867</v>
      </c>
      <c r="O85" s="671"/>
    </row>
    <row r="86" spans="1:29" ht="16.5" thickBot="1" x14ac:dyDescent="0.3">
      <c r="A86" s="671"/>
      <c r="B86" s="1304" t="s">
        <v>301</v>
      </c>
      <c r="C86" s="768"/>
      <c r="D86" s="1128">
        <f t="shared" ref="D86:N86" si="61">-D14</f>
        <v>-10764.481</v>
      </c>
      <c r="E86" s="1128">
        <f t="shared" si="61"/>
        <v>-11140.85125</v>
      </c>
      <c r="F86" s="1128">
        <f t="shared" si="61"/>
        <v>-11517.2215</v>
      </c>
      <c r="G86" s="1128">
        <f t="shared" si="61"/>
        <v>-11893.59175</v>
      </c>
      <c r="H86" s="1128">
        <f t="shared" si="61"/>
        <v>-12269.962</v>
      </c>
      <c r="I86" s="1128">
        <f t="shared" si="61"/>
        <v>-12646.332249999999</v>
      </c>
      <c r="J86" s="1128">
        <f t="shared" si="61"/>
        <v>-13022.702499999999</v>
      </c>
      <c r="K86" s="1128">
        <f t="shared" si="61"/>
        <v>-13399.072749999999</v>
      </c>
      <c r="L86" s="1128">
        <f t="shared" si="61"/>
        <v>-13775.442999999999</v>
      </c>
      <c r="M86" s="1128">
        <f t="shared" si="61"/>
        <v>-14151.813249999999</v>
      </c>
      <c r="N86" s="1128">
        <f t="shared" si="61"/>
        <v>-14528.183499999999</v>
      </c>
      <c r="O86" s="671"/>
    </row>
    <row r="87" spans="1:29" ht="16.5" thickBot="1" x14ac:dyDescent="0.3">
      <c r="A87" s="1427" t="s">
        <v>308</v>
      </c>
      <c r="B87" s="1428" t="s">
        <v>303</v>
      </c>
      <c r="C87" s="1429"/>
      <c r="D87" s="1430">
        <f t="shared" ref="D87:N87" si="62">+D85+D86</f>
        <v>5977.7508482299745</v>
      </c>
      <c r="E87" s="1430">
        <f t="shared" si="62"/>
        <v>5956.9889016075467</v>
      </c>
      <c r="F87" s="1430">
        <f t="shared" si="62"/>
        <v>5938.7324685219755</v>
      </c>
      <c r="G87" s="1430">
        <f t="shared" si="62"/>
        <v>5898.7565376575803</v>
      </c>
      <c r="H87" s="1430">
        <f t="shared" si="62"/>
        <v>5859.6174738737755</v>
      </c>
      <c r="I87" s="1430">
        <f t="shared" si="62"/>
        <v>5821.1990321813719</v>
      </c>
      <c r="J87" s="1430">
        <f t="shared" si="62"/>
        <v>5783.3743514970556</v>
      </c>
      <c r="K87" s="1430">
        <f t="shared" si="62"/>
        <v>5746.0051136683105</v>
      </c>
      <c r="L87" s="1430">
        <f t="shared" si="62"/>
        <v>5708.9406325601412</v>
      </c>
      <c r="M87" s="1430">
        <f t="shared" si="62"/>
        <v>5672.0168675934437</v>
      </c>
      <c r="N87" s="1430">
        <f t="shared" si="62"/>
        <v>5635.0553556268678</v>
      </c>
      <c r="O87" s="671"/>
    </row>
    <row r="88" spans="1:29" ht="16.5" thickBot="1" x14ac:dyDescent="0.3"/>
    <row r="89" spans="1:29" x14ac:dyDescent="0.25">
      <c r="A89" s="1304"/>
      <c r="B89" s="1304" t="s">
        <v>309</v>
      </c>
      <c r="C89" s="1304"/>
      <c r="D89" s="1046">
        <v>0</v>
      </c>
      <c r="E89" s="1046">
        <v>1</v>
      </c>
      <c r="F89" s="1046">
        <f t="shared" ref="F89:N89" si="63">E89+1</f>
        <v>2</v>
      </c>
      <c r="G89" s="1046">
        <f t="shared" si="63"/>
        <v>3</v>
      </c>
      <c r="H89" s="1046">
        <f t="shared" si="63"/>
        <v>4</v>
      </c>
      <c r="I89" s="1046">
        <f t="shared" si="63"/>
        <v>5</v>
      </c>
      <c r="J89" s="1046">
        <f t="shared" si="63"/>
        <v>6</v>
      </c>
      <c r="K89" s="1046">
        <f t="shared" si="63"/>
        <v>7</v>
      </c>
      <c r="L89" s="1046">
        <f t="shared" si="63"/>
        <v>8</v>
      </c>
      <c r="M89" s="1046">
        <f t="shared" si="63"/>
        <v>9</v>
      </c>
      <c r="N89" s="1046">
        <f t="shared" si="63"/>
        <v>10</v>
      </c>
      <c r="O89" s="1046">
        <f>N89+1</f>
        <v>11</v>
      </c>
      <c r="P89" s="1046">
        <f t="shared" ref="P89:AB89" si="64">O89+1</f>
        <v>12</v>
      </c>
      <c r="Q89" s="1046">
        <f t="shared" si="64"/>
        <v>13</v>
      </c>
      <c r="R89" s="1046">
        <f t="shared" si="64"/>
        <v>14</v>
      </c>
      <c r="S89" s="1046">
        <f t="shared" si="64"/>
        <v>15</v>
      </c>
      <c r="T89" s="1046">
        <f t="shared" si="64"/>
        <v>16</v>
      </c>
      <c r="U89" s="1046">
        <f t="shared" si="64"/>
        <v>17</v>
      </c>
      <c r="V89" s="1046">
        <f t="shared" si="64"/>
        <v>18</v>
      </c>
      <c r="W89" s="1046">
        <f t="shared" si="64"/>
        <v>19</v>
      </c>
      <c r="X89" s="1046">
        <f t="shared" si="64"/>
        <v>20</v>
      </c>
      <c r="Y89" s="1046">
        <f t="shared" si="64"/>
        <v>21</v>
      </c>
      <c r="Z89" s="1046">
        <f t="shared" si="64"/>
        <v>22</v>
      </c>
      <c r="AA89" s="1046">
        <f t="shared" si="64"/>
        <v>23</v>
      </c>
      <c r="AB89" s="1046">
        <f t="shared" si="64"/>
        <v>24</v>
      </c>
    </row>
    <row r="90" spans="1:29" x14ac:dyDescent="0.25">
      <c r="A90" s="1304"/>
      <c r="B90" s="1304" t="s">
        <v>310</v>
      </c>
      <c r="C90" s="1304"/>
      <c r="D90" s="1431">
        <f t="shared" ref="D90:AB90" si="65">+D64</f>
        <v>0</v>
      </c>
      <c r="E90" s="1421">
        <f t="shared" si="65"/>
        <v>1471.4059338125003</v>
      </c>
      <c r="F90" s="1421">
        <f t="shared" si="65"/>
        <v>1503.0118333125006</v>
      </c>
      <c r="G90" s="1421">
        <f t="shared" si="65"/>
        <v>1534.8415810962506</v>
      </c>
      <c r="H90" s="1421">
        <f t="shared" si="65"/>
        <v>1566.8974156465881</v>
      </c>
      <c r="I90" s="1421">
        <f t="shared" si="65"/>
        <v>1599.1815978311788</v>
      </c>
      <c r="J90" s="1421">
        <f t="shared" si="65"/>
        <v>1631.6964111263655</v>
      </c>
      <c r="K90" s="1421">
        <f t="shared" si="65"/>
        <v>1664.4441618432547</v>
      </c>
      <c r="L90" s="1421">
        <f t="shared" si="65"/>
        <v>1697.427179356062</v>
      </c>
      <c r="M90" s="1421">
        <f t="shared" si="65"/>
        <v>1730.6478163327472</v>
      </c>
      <c r="N90" s="1421">
        <f t="shared" si="65"/>
        <v>1764.1084489679497</v>
      </c>
      <c r="O90" s="1421">
        <f t="shared" si="65"/>
        <v>1794.3959128326292</v>
      </c>
      <c r="P90" s="1421">
        <f t="shared" si="65"/>
        <v>1824.986251335956</v>
      </c>
      <c r="Q90" s="1421">
        <f t="shared" si="65"/>
        <v>1855.8824932243151</v>
      </c>
      <c r="R90" s="1421">
        <f t="shared" si="65"/>
        <v>1887.0876975315589</v>
      </c>
      <c r="S90" s="1421">
        <f t="shared" si="65"/>
        <v>1918.6049538818752</v>
      </c>
      <c r="T90" s="1421">
        <f t="shared" si="65"/>
        <v>1950.4373827956938</v>
      </c>
      <c r="U90" s="1421">
        <f t="shared" si="65"/>
        <v>1982.5881359986502</v>
      </c>
      <c r="V90" s="1421">
        <f t="shared" si="65"/>
        <v>2015.0603967336363</v>
      </c>
      <c r="W90" s="1421">
        <f t="shared" si="65"/>
        <v>2047.8573800759732</v>
      </c>
      <c r="X90" s="1421">
        <f t="shared" si="65"/>
        <v>2080.9823332517335</v>
      </c>
      <c r="Y90" s="1421">
        <f t="shared" si="65"/>
        <v>2114.4385359592507</v>
      </c>
      <c r="Z90" s="1421">
        <f t="shared" si="65"/>
        <v>2148.2293006938439</v>
      </c>
      <c r="AA90" s="1421">
        <f t="shared" si="65"/>
        <v>2182.3579730757783</v>
      </c>
      <c r="AB90" s="1421">
        <f t="shared" si="65"/>
        <v>2216.8279321815362</v>
      </c>
    </row>
    <row r="91" spans="1:29" x14ac:dyDescent="0.25">
      <c r="A91" s="1304"/>
      <c r="B91" s="1304" t="s">
        <v>311</v>
      </c>
      <c r="C91" s="1304"/>
      <c r="D91" s="1422"/>
      <c r="E91" s="1422">
        <f t="shared" ref="E91:AB91" si="66">+E41</f>
        <v>0.10340402608725845</v>
      </c>
      <c r="F91" s="1422">
        <f t="shared" si="66"/>
        <v>0.10325801211784458</v>
      </c>
      <c r="G91" s="1422">
        <f t="shared" si="66"/>
        <v>0.10311841662216821</v>
      </c>
      <c r="H91" s="1422">
        <f t="shared" si="66"/>
        <v>0.1029849160121253</v>
      </c>
      <c r="I91" s="1422">
        <f t="shared" si="66"/>
        <v>0.10285720913851815</v>
      </c>
      <c r="J91" s="1422">
        <f t="shared" si="66"/>
        <v>0.10273501549223224</v>
      </c>
      <c r="K91" s="1422">
        <f t="shared" si="66"/>
        <v>0.10261807357332425</v>
      </c>
      <c r="L91" s="1422">
        <f t="shared" si="66"/>
        <v>0.10250613940908869</v>
      </c>
      <c r="M91" s="1422">
        <f t="shared" si="66"/>
        <v>0.10239898520456694</v>
      </c>
      <c r="N91" s="1422">
        <f t="shared" si="66"/>
        <v>0.10229639811103607</v>
      </c>
      <c r="O91" s="1422">
        <f t="shared" si="66"/>
        <v>0.10219817909981113</v>
      </c>
      <c r="P91" s="1422">
        <f t="shared" si="66"/>
        <v>0.1021041419302593</v>
      </c>
      <c r="Q91" s="1422">
        <f t="shared" si="66"/>
        <v>0.10201411220228204</v>
      </c>
      <c r="R91" s="1422">
        <f t="shared" si="66"/>
        <v>0.10201411220228204</v>
      </c>
      <c r="S91" s="1422">
        <f t="shared" si="66"/>
        <v>0.10201411220228204</v>
      </c>
      <c r="T91" s="1422">
        <f t="shared" si="66"/>
        <v>0.10201411220228204</v>
      </c>
      <c r="U91" s="1422">
        <f t="shared" si="66"/>
        <v>0.10201411220228204</v>
      </c>
      <c r="V91" s="1422">
        <f t="shared" si="66"/>
        <v>0.10201411220228204</v>
      </c>
      <c r="W91" s="1422">
        <f t="shared" si="66"/>
        <v>0.10201411220228204</v>
      </c>
      <c r="X91" s="1422">
        <f t="shared" si="66"/>
        <v>0.10201411220228204</v>
      </c>
      <c r="Y91" s="1422">
        <f t="shared" si="66"/>
        <v>0.10201411220228204</v>
      </c>
      <c r="Z91" s="1422">
        <f t="shared" si="66"/>
        <v>0.10201411220228204</v>
      </c>
      <c r="AA91" s="1422">
        <f t="shared" si="66"/>
        <v>0.10201411220228204</v>
      </c>
      <c r="AB91" s="1422">
        <f t="shared" si="66"/>
        <v>0</v>
      </c>
      <c r="AC91" s="1422"/>
    </row>
    <row r="92" spans="1:29" x14ac:dyDescent="0.25">
      <c r="A92" s="1304"/>
      <c r="B92" s="1304" t="s">
        <v>312</v>
      </c>
      <c r="C92" s="1304"/>
      <c r="D92" s="1421">
        <f>1/(1+D91)^D89</f>
        <v>1</v>
      </c>
      <c r="E92" s="1423">
        <f>+D92/(1+E91)</f>
        <v>0.90628634331348623</v>
      </c>
      <c r="F92" s="1423">
        <f>+E92/(1+F91)</f>
        <v>0.82146364074325096</v>
      </c>
      <c r="G92" s="1423">
        <f t="shared" ref="G92:AB92" si="67">+F92/(1+G91)</f>
        <v>0.74467403350823802</v>
      </c>
      <c r="H92" s="1423">
        <f t="shared" si="67"/>
        <v>0.67514434939022483</v>
      </c>
      <c r="I92" s="1423">
        <f t="shared" si="67"/>
        <v>0.61217748208546829</v>
      </c>
      <c r="J92" s="1423">
        <f t="shared" si="67"/>
        <v>0.55514468433942687</v>
      </c>
      <c r="K92" s="1423">
        <f t="shared" si="67"/>
        <v>0.50347867284664971</v>
      </c>
      <c r="L92" s="1423">
        <f t="shared" si="67"/>
        <v>0.45666745503703016</v>
      </c>
      <c r="M92" s="1423">
        <f t="shared" si="67"/>
        <v>0.41424879845321022</v>
      </c>
      <c r="N92" s="1423">
        <f t="shared" si="67"/>
        <v>0.37580527266812519</v>
      </c>
      <c r="O92" s="1423">
        <f t="shared" si="67"/>
        <v>0.34095980177997881</v>
      </c>
      <c r="P92" s="1423">
        <f t="shared" si="67"/>
        <v>0.30937167261054954</v>
      </c>
      <c r="Q92" s="1423">
        <f t="shared" si="67"/>
        <v>0.280732949954966</v>
      </c>
      <c r="R92" s="1423">
        <f t="shared" si="67"/>
        <v>0.25474533115909465</v>
      </c>
      <c r="S92" s="1423">
        <f t="shared" si="67"/>
        <v>0.23116340193684784</v>
      </c>
      <c r="T92" s="1423">
        <f t="shared" si="67"/>
        <v>0.20976446615088018</v>
      </c>
      <c r="U92" s="1423">
        <f t="shared" si="67"/>
        <v>0.19034644277983304</v>
      </c>
      <c r="V92" s="1423">
        <f t="shared" si="67"/>
        <v>0.17272595756459214</v>
      </c>
      <c r="W92" s="1423">
        <f t="shared" si="67"/>
        <v>0.15673661131200392</v>
      </c>
      <c r="X92" s="1423">
        <f t="shared" si="67"/>
        <v>0.14222740850276325</v>
      </c>
      <c r="Y92" s="1423">
        <f t="shared" si="67"/>
        <v>0.12906133136401837</v>
      </c>
      <c r="Z92" s="1423">
        <f t="shared" si="67"/>
        <v>0.11711404594093648</v>
      </c>
      <c r="AA92" s="1423">
        <f t="shared" si="67"/>
        <v>0.106272727948006</v>
      </c>
      <c r="AB92" s="1423">
        <f t="shared" si="67"/>
        <v>0.106272727948006</v>
      </c>
    </row>
    <row r="93" spans="1:29" x14ac:dyDescent="0.25">
      <c r="A93" s="1304"/>
      <c r="B93" s="1304" t="s">
        <v>313</v>
      </c>
      <c r="C93" s="1304"/>
      <c r="D93" s="1421">
        <f>+D90*D92</f>
        <v>0</v>
      </c>
      <c r="E93" s="1421">
        <f>+E90*E92</f>
        <v>1333.5151032846964</v>
      </c>
      <c r="F93" s="1421">
        <f t="shared" ref="F93:AB93" si="68">+F90*F92</f>
        <v>1234.669572673075</v>
      </c>
      <c r="G93" s="1421">
        <f t="shared" si="68"/>
        <v>1142.9566709911064</v>
      </c>
      <c r="H93" s="1421">
        <f t="shared" si="68"/>
        <v>1057.8819362479405</v>
      </c>
      <c r="I93" s="1421">
        <f t="shared" si="68"/>
        <v>978.98296395770706</v>
      </c>
      <c r="J93" s="1421">
        <f t="shared" si="68"/>
        <v>905.82758909252186</v>
      </c>
      <c r="K93" s="1421">
        <f t="shared" si="68"/>
        <v>838.01213763219619</v>
      </c>
      <c r="L93" s="1421">
        <f t="shared" si="68"/>
        <v>775.15975010721741</v>
      </c>
      <c r="M93" s="1421">
        <f t="shared" si="68"/>
        <v>716.9187784615126</v>
      </c>
      <c r="N93" s="1421">
        <f t="shared" si="68"/>
        <v>662.96125668054378</v>
      </c>
      <c r="O93" s="1421">
        <f t="shared" si="68"/>
        <v>611.81687475421734</v>
      </c>
      <c r="P93" s="1421">
        <f t="shared" si="68"/>
        <v>564.59904906706151</v>
      </c>
      <c r="Q93" s="1421">
        <f t="shared" si="68"/>
        <v>521.00736709263924</v>
      </c>
      <c r="R93" s="1421">
        <f t="shared" si="68"/>
        <v>480.7267804339304</v>
      </c>
      <c r="S93" s="1421">
        <f t="shared" si="68"/>
        <v>443.51124811222331</v>
      </c>
      <c r="T93" s="1421">
        <f t="shared" si="68"/>
        <v>409.13245636285865</v>
      </c>
      <c r="U93" s="1421">
        <f t="shared" si="68"/>
        <v>377.37859918484293</v>
      </c>
      <c r="V93" s="1421">
        <f t="shared" si="68"/>
        <v>348.05323657630424</v>
      </c>
      <c r="W93" s="1421">
        <f t="shared" si="68"/>
        <v>320.97422620338648</v>
      </c>
      <c r="X93" s="1421">
        <f t="shared" si="68"/>
        <v>295.97272439842772</v>
      </c>
      <c r="Y93" s="1421">
        <f t="shared" si="68"/>
        <v>272.8922525382867</v>
      </c>
      <c r="Z93" s="1421">
        <f t="shared" si="68"/>
        <v>251.5878250131247</v>
      </c>
      <c r="AA93" s="1421">
        <f t="shared" si="68"/>
        <v>231.92513515784401</v>
      </c>
      <c r="AB93" s="1421">
        <f t="shared" si="68"/>
        <v>235.58835174426909</v>
      </c>
    </row>
    <row r="94" spans="1:29" x14ac:dyDescent="0.25">
      <c r="A94" s="1304"/>
      <c r="B94" s="1304" t="s">
        <v>314</v>
      </c>
      <c r="C94" s="1304"/>
      <c r="D94" s="1424">
        <f>+SUM(E93:N93)</f>
        <v>9646.8857591285177</v>
      </c>
      <c r="E94" s="1424">
        <f>+SUM(F93:O93)/E92</f>
        <v>9848.0878548456712</v>
      </c>
      <c r="F94" s="1424">
        <f t="shared" ref="F94:Q94" si="69">+SUM(G93:P93)/F92</f>
        <v>10049.278626042278</v>
      </c>
      <c r="G94" s="1424">
        <f t="shared" si="69"/>
        <v>10250.347614691087</v>
      </c>
      <c r="H94" s="1424">
        <f t="shared" si="69"/>
        <v>10451.116940625187</v>
      </c>
      <c r="I94" s="1424">
        <f t="shared" si="69"/>
        <v>10651.389543471822</v>
      </c>
      <c r="J94" s="1424">
        <f t="shared" si="69"/>
        <v>10850.947273091961</v>
      </c>
      <c r="K94" s="1424">
        <f t="shared" si="69"/>
        <v>11049.548789828281</v>
      </c>
      <c r="L94" s="1424">
        <f t="shared" si="69"/>
        <v>11246.927255435046</v>
      </c>
      <c r="M94" s="1424">
        <f t="shared" si="69"/>
        <v>11442.787793634154</v>
      </c>
      <c r="N94" s="1424">
        <f t="shared" si="69"/>
        <v>11636.804697117313</v>
      </c>
      <c r="O94" s="1424">
        <f t="shared" si="69"/>
        <v>11832.033919861497</v>
      </c>
      <c r="P94" s="1424">
        <f t="shared" si="69"/>
        <v>12028.369257325243</v>
      </c>
      <c r="Q94" s="1424">
        <f t="shared" si="69"/>
        <v>12225.691656543346</v>
      </c>
    </row>
    <row r="95" spans="1:29" ht="16.5" thickBot="1" x14ac:dyDescent="0.3">
      <c r="A95" s="1304"/>
      <c r="B95" s="1304" t="s">
        <v>315</v>
      </c>
      <c r="C95" s="1304"/>
      <c r="D95" s="1424">
        <f>+O90/(O91-O$29)*N92</f>
        <v>7314.0646798090274</v>
      </c>
      <c r="E95" s="1424">
        <f t="shared" ref="E95:Q95" si="70">+P90/(P91-P$29)*O92/E92</f>
        <v>7454.4941847402151</v>
      </c>
      <c r="F95" s="1424">
        <f t="shared" si="70"/>
        <v>7596.0573418609756</v>
      </c>
      <c r="G95" s="1424">
        <f t="shared" si="70"/>
        <v>7731.5189024343281</v>
      </c>
      <c r="H95" s="1424">
        <f t="shared" si="70"/>
        <v>7867.5718423572453</v>
      </c>
      <c r="I95" s="1424">
        <f t="shared" si="70"/>
        <v>8004.2251879935384</v>
      </c>
      <c r="J95" s="1424">
        <f t="shared" si="70"/>
        <v>8141.4882089993816</v>
      </c>
      <c r="K95" s="1424">
        <f t="shared" si="70"/>
        <v>8279.3704269686987</v>
      </c>
      <c r="L95" s="1424">
        <f t="shared" si="70"/>
        <v>8417.8816242162138</v>
      </c>
      <c r="M95" s="1424">
        <f t="shared" si="70"/>
        <v>8557.031852688835</v>
      </c>
      <c r="N95" s="1424">
        <f t="shared" si="70"/>
        <v>8696.8314429893217</v>
      </c>
      <c r="O95" s="1424">
        <f t="shared" si="70"/>
        <v>8837.2910134902977</v>
      </c>
      <c r="P95" s="1424">
        <f t="shared" si="70"/>
        <v>8978.4214795116204</v>
      </c>
      <c r="Q95" s="1424">
        <f t="shared" si="70"/>
        <v>-83919.02403407266</v>
      </c>
    </row>
    <row r="96" spans="1:29" ht="16.5" thickBot="1" x14ac:dyDescent="0.3">
      <c r="A96" s="671"/>
      <c r="B96" s="1147" t="s">
        <v>300</v>
      </c>
      <c r="C96" s="1148"/>
      <c r="D96" s="1426">
        <f>+D94+D95</f>
        <v>16960.950438937543</v>
      </c>
      <c r="E96" s="1426">
        <f t="shared" ref="E96:Q96" si="71">+E94+E95</f>
        <v>17302.582039585886</v>
      </c>
      <c r="F96" s="1426">
        <f t="shared" si="71"/>
        <v>17645.335967903255</v>
      </c>
      <c r="G96" s="1426">
        <f t="shared" si="71"/>
        <v>17981.866517125414</v>
      </c>
      <c r="H96" s="1426">
        <f t="shared" si="71"/>
        <v>18318.688782982434</v>
      </c>
      <c r="I96" s="1426">
        <f t="shared" si="71"/>
        <v>18655.614731465361</v>
      </c>
      <c r="J96" s="1426">
        <f t="shared" si="71"/>
        <v>18992.435482091343</v>
      </c>
      <c r="K96" s="1426">
        <f t="shared" si="71"/>
        <v>19328.919216796981</v>
      </c>
      <c r="L96" s="1426">
        <f t="shared" si="71"/>
        <v>19664.80887965126</v>
      </c>
      <c r="M96" s="1426">
        <f t="shared" si="71"/>
        <v>19999.819646322991</v>
      </c>
      <c r="N96" s="1426">
        <f t="shared" si="71"/>
        <v>20333.636140106635</v>
      </c>
      <c r="O96" s="1426">
        <f t="shared" si="71"/>
        <v>20669.324933351796</v>
      </c>
      <c r="P96" s="1426">
        <f t="shared" si="71"/>
        <v>21006.790736836861</v>
      </c>
      <c r="Q96" s="1426">
        <f t="shared" si="71"/>
        <v>-71693.33237752931</v>
      </c>
    </row>
    <row r="97" spans="1:29" ht="16.5" thickBot="1" x14ac:dyDescent="0.3">
      <c r="A97" s="671"/>
      <c r="B97" s="1304" t="s">
        <v>301</v>
      </c>
      <c r="C97" s="768"/>
      <c r="D97" s="1128">
        <f t="shared" ref="D97:Q97" si="72">-D14</f>
        <v>-10764.481</v>
      </c>
      <c r="E97" s="1128">
        <f t="shared" si="72"/>
        <v>-11140.85125</v>
      </c>
      <c r="F97" s="1128">
        <f t="shared" si="72"/>
        <v>-11517.2215</v>
      </c>
      <c r="G97" s="1128">
        <f t="shared" si="72"/>
        <v>-11893.59175</v>
      </c>
      <c r="H97" s="1128">
        <f t="shared" si="72"/>
        <v>-12269.962</v>
      </c>
      <c r="I97" s="1128">
        <f t="shared" si="72"/>
        <v>-12646.332249999999</v>
      </c>
      <c r="J97" s="1128">
        <f t="shared" si="72"/>
        <v>-13022.702499999999</v>
      </c>
      <c r="K97" s="1128">
        <f t="shared" si="72"/>
        <v>-13399.072749999999</v>
      </c>
      <c r="L97" s="1128">
        <f t="shared" si="72"/>
        <v>-13775.442999999999</v>
      </c>
      <c r="M97" s="1128">
        <f t="shared" si="72"/>
        <v>-14151.813249999999</v>
      </c>
      <c r="N97" s="1128">
        <f t="shared" si="72"/>
        <v>-14528.183499999999</v>
      </c>
      <c r="O97" s="1128">
        <f t="shared" si="72"/>
        <v>-14904.553749999999</v>
      </c>
      <c r="P97" s="1128">
        <f t="shared" si="72"/>
        <v>-15280.923999999999</v>
      </c>
      <c r="Q97" s="1128">
        <f t="shared" si="72"/>
        <v>-15657.294249999999</v>
      </c>
    </row>
    <row r="98" spans="1:29" ht="16.5" thickBot="1" x14ac:dyDescent="0.3">
      <c r="A98" s="1427" t="s">
        <v>316</v>
      </c>
      <c r="B98" s="1428" t="s">
        <v>303</v>
      </c>
      <c r="C98" s="1429"/>
      <c r="D98" s="1430">
        <f t="shared" ref="D98:Q98" si="73">+D96+D97</f>
        <v>6196.4694389375436</v>
      </c>
      <c r="E98" s="1430">
        <f t="shared" si="73"/>
        <v>6161.7307895858867</v>
      </c>
      <c r="F98" s="1430">
        <f t="shared" si="73"/>
        <v>6128.114467903255</v>
      </c>
      <c r="G98" s="1430">
        <f t="shared" si="73"/>
        <v>6088.2747671254147</v>
      </c>
      <c r="H98" s="1430">
        <f t="shared" si="73"/>
        <v>6048.7267829824341</v>
      </c>
      <c r="I98" s="1430">
        <f t="shared" si="73"/>
        <v>6009.2824814653613</v>
      </c>
      <c r="J98" s="1430">
        <f t="shared" si="73"/>
        <v>5969.7329820913437</v>
      </c>
      <c r="K98" s="1430">
        <f t="shared" si="73"/>
        <v>5929.846466796982</v>
      </c>
      <c r="L98" s="1430">
        <f t="shared" si="73"/>
        <v>5889.3658796512609</v>
      </c>
      <c r="M98" s="1430">
        <f t="shared" si="73"/>
        <v>5848.0063963229913</v>
      </c>
      <c r="N98" s="1430">
        <f t="shared" si="73"/>
        <v>5805.452640106636</v>
      </c>
      <c r="O98" s="1430">
        <f t="shared" si="73"/>
        <v>5764.7711833517969</v>
      </c>
      <c r="P98" s="1430">
        <f t="shared" si="73"/>
        <v>5725.8667368368624</v>
      </c>
      <c r="Q98" s="1430">
        <f t="shared" si="73"/>
        <v>-87350.626627529302</v>
      </c>
    </row>
    <row r="99" spans="1:29" ht="16.5" thickBot="1" x14ac:dyDescent="0.3"/>
    <row r="100" spans="1:29" x14ac:dyDescent="0.25">
      <c r="A100" s="1304"/>
      <c r="B100" s="1304" t="s">
        <v>317</v>
      </c>
      <c r="C100" s="1304"/>
      <c r="D100" s="1046">
        <v>0</v>
      </c>
      <c r="E100" s="1046">
        <v>1</v>
      </c>
      <c r="F100" s="1046">
        <f t="shared" ref="F100:N100" si="74">E100+1</f>
        <v>2</v>
      </c>
      <c r="G100" s="1046">
        <f t="shared" si="74"/>
        <v>3</v>
      </c>
      <c r="H100" s="1046">
        <f t="shared" si="74"/>
        <v>4</v>
      </c>
      <c r="I100" s="1046">
        <f t="shared" si="74"/>
        <v>5</v>
      </c>
      <c r="J100" s="1046">
        <f t="shared" si="74"/>
        <v>6</v>
      </c>
      <c r="K100" s="1046">
        <f t="shared" si="74"/>
        <v>7</v>
      </c>
      <c r="L100" s="1046">
        <f t="shared" si="74"/>
        <v>8</v>
      </c>
      <c r="M100" s="1046">
        <f t="shared" si="74"/>
        <v>9</v>
      </c>
      <c r="N100" s="1046">
        <f t="shared" si="74"/>
        <v>10</v>
      </c>
      <c r="O100" s="1046">
        <f>N100+1</f>
        <v>11</v>
      </c>
      <c r="P100" s="1046">
        <f t="shared" ref="P100:AB100" si="75">O100+1</f>
        <v>12</v>
      </c>
      <c r="Q100" s="1046">
        <f t="shared" si="75"/>
        <v>13</v>
      </c>
      <c r="R100" s="1046">
        <f t="shared" si="75"/>
        <v>14</v>
      </c>
      <c r="S100" s="1046">
        <f t="shared" si="75"/>
        <v>15</v>
      </c>
      <c r="T100" s="1046">
        <f t="shared" si="75"/>
        <v>16</v>
      </c>
      <c r="U100" s="1046">
        <f t="shared" si="75"/>
        <v>17</v>
      </c>
      <c r="V100" s="1046">
        <f t="shared" si="75"/>
        <v>18</v>
      </c>
      <c r="W100" s="1046">
        <f t="shared" si="75"/>
        <v>19</v>
      </c>
      <c r="X100" s="1046">
        <f t="shared" si="75"/>
        <v>20</v>
      </c>
      <c r="Y100" s="1046">
        <f t="shared" si="75"/>
        <v>21</v>
      </c>
      <c r="Z100" s="1046">
        <f t="shared" si="75"/>
        <v>22</v>
      </c>
      <c r="AA100" s="1046">
        <f t="shared" si="75"/>
        <v>23</v>
      </c>
      <c r="AB100" s="1046">
        <f t="shared" si="75"/>
        <v>24</v>
      </c>
    </row>
    <row r="101" spans="1:29" x14ac:dyDescent="0.25">
      <c r="A101" s="1304"/>
      <c r="B101" s="1304" t="s">
        <v>292</v>
      </c>
      <c r="C101" s="1304"/>
      <c r="D101" s="1431">
        <f t="shared" ref="D101:AB101" si="76">+D61</f>
        <v>0</v>
      </c>
      <c r="E101" s="1421">
        <f t="shared" si="76"/>
        <v>1081.0895550625003</v>
      </c>
      <c r="F101" s="1421">
        <f t="shared" si="76"/>
        <v>1086.3495370625003</v>
      </c>
      <c r="G101" s="1421">
        <f t="shared" si="76"/>
        <v>1091.8333673462505</v>
      </c>
      <c r="H101" s="1421">
        <f t="shared" si="76"/>
        <v>1097.543284396588</v>
      </c>
      <c r="I101" s="1421">
        <f t="shared" si="76"/>
        <v>1103.4815490811789</v>
      </c>
      <c r="J101" s="1421">
        <f t="shared" si="76"/>
        <v>1109.6504448763653</v>
      </c>
      <c r="K101" s="1421">
        <f t="shared" si="76"/>
        <v>1116.0522780932545</v>
      </c>
      <c r="L101" s="1421">
        <f t="shared" si="76"/>
        <v>1122.6893781060619</v>
      </c>
      <c r="M101" s="1421">
        <f t="shared" si="76"/>
        <v>1129.5640975827471</v>
      </c>
      <c r="N101" s="1421">
        <f t="shared" si="76"/>
        <v>1136.6788127179498</v>
      </c>
      <c r="O101" s="1421">
        <f t="shared" si="76"/>
        <v>1140.620359082629</v>
      </c>
      <c r="P101" s="1421">
        <f t="shared" si="76"/>
        <v>1144.864780085956</v>
      </c>
      <c r="Q101" s="1421">
        <f t="shared" si="76"/>
        <v>1149.4151044743151</v>
      </c>
      <c r="R101" s="1421">
        <f t="shared" si="76"/>
        <v>1154.2743912815588</v>
      </c>
      <c r="S101" s="1421">
        <f t="shared" si="76"/>
        <v>1159.4457301318751</v>
      </c>
      <c r="T101" s="1421">
        <f t="shared" si="76"/>
        <v>1164.9322415456936</v>
      </c>
      <c r="U101" s="1421">
        <f t="shared" si="76"/>
        <v>1170.7370772486502</v>
      </c>
      <c r="V101" s="1421">
        <f t="shared" si="76"/>
        <v>1176.8634204836362</v>
      </c>
      <c r="W101" s="1421">
        <f t="shared" si="76"/>
        <v>1183.3144863259731</v>
      </c>
      <c r="X101" s="1421">
        <f t="shared" si="76"/>
        <v>1190.0935220017332</v>
      </c>
      <c r="Y101" s="1421">
        <f t="shared" si="76"/>
        <v>1197.2038072092505</v>
      </c>
      <c r="Z101" s="1421">
        <f t="shared" si="76"/>
        <v>1204.648654443844</v>
      </c>
      <c r="AA101" s="1421">
        <f t="shared" si="76"/>
        <v>1212.4314093257781</v>
      </c>
      <c r="AB101" s="1421">
        <f t="shared" si="76"/>
        <v>1220.5554509315361</v>
      </c>
    </row>
    <row r="102" spans="1:29" x14ac:dyDescent="0.25">
      <c r="A102" s="1304"/>
      <c r="B102" s="1304" t="s">
        <v>276</v>
      </c>
      <c r="C102" s="1304"/>
      <c r="D102" s="1422">
        <f t="shared" ref="D102:AB102" si="77">+D39</f>
        <v>0.15840703234909403</v>
      </c>
      <c r="E102" s="1422">
        <f t="shared" si="77"/>
        <v>0.16018723924555089</v>
      </c>
      <c r="F102" s="1422">
        <f t="shared" si="77"/>
        <v>0.16196174057037233</v>
      </c>
      <c r="G102" s="1422">
        <f t="shared" si="77"/>
        <v>0.16372844370562148</v>
      </c>
      <c r="H102" s="1422">
        <f t="shared" si="77"/>
        <v>0.16548522264464821</v>
      </c>
      <c r="I102" s="1422">
        <f t="shared" si="77"/>
        <v>0.16722992511856988</v>
      </c>
      <c r="J102" s="1422">
        <f t="shared" si="77"/>
        <v>0.16896038012194692</v>
      </c>
      <c r="K102" s="1422">
        <f t="shared" si="77"/>
        <v>0.17067440579245169</v>
      </c>
      <c r="L102" s="1422">
        <f t="shared" si="77"/>
        <v>0.17236981759351633</v>
      </c>
      <c r="M102" s="1422">
        <f t="shared" si="77"/>
        <v>0.17404443674356843</v>
      </c>
      <c r="N102" s="1422">
        <f t="shared" si="77"/>
        <v>0.17569609883064338</v>
      </c>
      <c r="O102" s="1422">
        <f t="shared" si="77"/>
        <v>0.17732266254700255</v>
      </c>
      <c r="P102" s="1422">
        <f t="shared" si="77"/>
        <v>0.17892201847499931</v>
      </c>
      <c r="Q102" s="1422">
        <f t="shared" si="77"/>
        <v>0.18049209785289813</v>
      </c>
      <c r="R102" s="1422">
        <f t="shared" si="77"/>
        <v>0.18049209785289813</v>
      </c>
      <c r="S102" s="1422">
        <f t="shared" si="77"/>
        <v>0.18049209785289813</v>
      </c>
      <c r="T102" s="1422">
        <f t="shared" si="77"/>
        <v>0.18049209785289813</v>
      </c>
      <c r="U102" s="1422">
        <f t="shared" si="77"/>
        <v>0.18049209785289813</v>
      </c>
      <c r="V102" s="1422">
        <f t="shared" si="77"/>
        <v>0.18049209785289813</v>
      </c>
      <c r="W102" s="1422">
        <f t="shared" si="77"/>
        <v>0.18049209785289813</v>
      </c>
      <c r="X102" s="1422">
        <f t="shared" si="77"/>
        <v>0.18049209785289813</v>
      </c>
      <c r="Y102" s="1422">
        <f t="shared" si="77"/>
        <v>0.18049209785289813</v>
      </c>
      <c r="Z102" s="1422">
        <f t="shared" si="77"/>
        <v>0.18049209785289813</v>
      </c>
      <c r="AA102" s="1422">
        <f t="shared" si="77"/>
        <v>0.18049209785289813</v>
      </c>
      <c r="AB102" s="1422">
        <f t="shared" si="77"/>
        <v>0</v>
      </c>
      <c r="AC102" s="1422"/>
    </row>
    <row r="103" spans="1:29" x14ac:dyDescent="0.25">
      <c r="A103" s="1304"/>
      <c r="B103" s="1304" t="s">
        <v>318</v>
      </c>
      <c r="C103" s="1304"/>
      <c r="D103" s="1421">
        <f>1/(1+D102)^D100</f>
        <v>1</v>
      </c>
      <c r="E103" s="1423">
        <f>+D103/(1+E102)</f>
        <v>0.86192983871317363</v>
      </c>
      <c r="F103" s="1423">
        <f>+E103/(1+F102)</f>
        <v>0.74178848461058444</v>
      </c>
      <c r="G103" s="1423">
        <f t="shared" ref="G103:N103" si="78">+F103/(1+G102)</f>
        <v>0.6374240387633151</v>
      </c>
      <c r="H103" s="1423">
        <f t="shared" si="78"/>
        <v>0.54691730652484061</v>
      </c>
      <c r="I103" s="1423">
        <f t="shared" si="78"/>
        <v>0.46856004524497052</v>
      </c>
      <c r="J103" s="1423">
        <f t="shared" si="78"/>
        <v>0.40083483855636742</v>
      </c>
      <c r="K103" s="1423">
        <f t="shared" si="78"/>
        <v>0.34239651654896713</v>
      </c>
      <c r="L103" s="1423">
        <f t="shared" si="78"/>
        <v>0.29205504219802658</v>
      </c>
      <c r="M103" s="1423">
        <f t="shared" si="78"/>
        <v>0.24875978545419949</v>
      </c>
      <c r="N103" s="1423">
        <f t="shared" si="78"/>
        <v>0.21158510749641676</v>
      </c>
      <c r="O103" s="1421">
        <f t="shared" ref="O103:AB103" si="79">1/(1+O102)^O100</f>
        <v>0.16601581308437882</v>
      </c>
      <c r="P103" s="1421">
        <f t="shared" si="79"/>
        <v>0.13873276818576991</v>
      </c>
      <c r="Q103" s="1421">
        <f t="shared" si="79"/>
        <v>0.11565912551636304</v>
      </c>
      <c r="R103" s="1421">
        <f t="shared" si="79"/>
        <v>9.7975349201173054E-2</v>
      </c>
      <c r="S103" s="1421">
        <f t="shared" si="79"/>
        <v>8.2995345228801198E-2</v>
      </c>
      <c r="T103" s="1421">
        <f t="shared" si="79"/>
        <v>7.0305718589522725E-2</v>
      </c>
      <c r="U103" s="1421">
        <f t="shared" si="79"/>
        <v>5.9556280569261023E-2</v>
      </c>
      <c r="V103" s="1421">
        <f t="shared" si="79"/>
        <v>5.0450384782399757E-2</v>
      </c>
      <c r="W103" s="1421">
        <f t="shared" si="79"/>
        <v>4.2736740783068258E-2</v>
      </c>
      <c r="X103" s="1421">
        <f t="shared" si="79"/>
        <v>3.620247933958954E-2</v>
      </c>
      <c r="Y103" s="1421">
        <f t="shared" si="79"/>
        <v>3.0667277998247772E-2</v>
      </c>
      <c r="Z103" s="1421">
        <f t="shared" si="79"/>
        <v>2.5978384822758247E-2</v>
      </c>
      <c r="AA103" s="1421">
        <f t="shared" si="79"/>
        <v>2.2006402982288686E-2</v>
      </c>
      <c r="AB103" s="1421">
        <f t="shared" si="79"/>
        <v>1</v>
      </c>
    </row>
    <row r="104" spans="1:29" x14ac:dyDescent="0.25">
      <c r="A104" s="1304"/>
      <c r="B104" s="1304" t="s">
        <v>319</v>
      </c>
      <c r="C104" s="1304"/>
      <c r="D104" s="1421">
        <f>+D101*D103</f>
        <v>0</v>
      </c>
      <c r="E104" s="1421">
        <f>+E101*E103</f>
        <v>931.82334582951751</v>
      </c>
      <c r="F104" s="1421">
        <f t="shared" ref="F104:AB104" si="80">+F101*F103</f>
        <v>805.84157685500202</v>
      </c>
      <c r="G104" s="1421">
        <f t="shared" si="80"/>
        <v>695.96083467039728</v>
      </c>
      <c r="H104" s="1421">
        <f t="shared" si="80"/>
        <v>600.26541689660905</v>
      </c>
      <c r="I104" s="1421">
        <f t="shared" si="80"/>
        <v>517.04736456446733</v>
      </c>
      <c r="J104" s="1421">
        <f t="shared" si="80"/>
        <v>444.78655692601916</v>
      </c>
      <c r="K104" s="1421">
        <f t="shared" si="80"/>
        <v>382.13241230566945</v>
      </c>
      <c r="L104" s="1421">
        <f t="shared" si="80"/>
        <v>327.88709369804212</v>
      </c>
      <c r="M104" s="1421">
        <f t="shared" si="80"/>
        <v>280.99012257145063</v>
      </c>
      <c r="N104" s="1421">
        <f t="shared" si="80"/>
        <v>240.50430877782679</v>
      </c>
      <c r="O104" s="1421">
        <f t="shared" si="80"/>
        <v>189.36101633369879</v>
      </c>
      <c r="P104" s="1421">
        <f t="shared" si="80"/>
        <v>158.83026013971738</v>
      </c>
      <c r="Q104" s="1421">
        <f t="shared" si="80"/>
        <v>132.94034583879835</v>
      </c>
      <c r="R104" s="1421">
        <f t="shared" si="80"/>
        <v>113.09043655978219</v>
      </c>
      <c r="S104" s="1421">
        <f t="shared" si="80"/>
        <v>96.228598646354442</v>
      </c>
      <c r="T104" s="1421">
        <f t="shared" si="80"/>
        <v>81.901398349973448</v>
      </c>
      <c r="U104" s="1421">
        <f t="shared" si="80"/>
        <v>69.724745845457221</v>
      </c>
      <c r="V104" s="1421">
        <f t="shared" si="80"/>
        <v>59.373212399730569</v>
      </c>
      <c r="W104" s="1421">
        <f t="shared" si="80"/>
        <v>50.571004466962684</v>
      </c>
      <c r="X104" s="1421">
        <f t="shared" si="80"/>
        <v>43.084336142447093</v>
      </c>
      <c r="Y104" s="1421">
        <f t="shared" si="80"/>
        <v>36.714981976246719</v>
      </c>
      <c r="Z104" s="1421">
        <f t="shared" si="80"/>
        <v>31.294826321360102</v>
      </c>
      <c r="AA104" s="1421">
        <f t="shared" si="80"/>
        <v>26.681254182007276</v>
      </c>
      <c r="AB104" s="1421">
        <f t="shared" si="80"/>
        <v>1220.5554509315361</v>
      </c>
    </row>
    <row r="105" spans="1:29" x14ac:dyDescent="0.25">
      <c r="A105" s="1304"/>
      <c r="B105" s="1304" t="s">
        <v>320</v>
      </c>
      <c r="C105" s="1304"/>
      <c r="D105" s="1424">
        <f>+SUM(E104:N104)</f>
        <v>5227.2390330950011</v>
      </c>
      <c r="E105" s="1424">
        <f>+SUM(F104:O104)/E103</f>
        <v>5203.180702381499</v>
      </c>
      <c r="F105" s="1424">
        <f t="shared" ref="F105:N105" si="81">+SUM(G104:P104)/F103</f>
        <v>5173.6653594705012</v>
      </c>
      <c r="G105" s="1424">
        <f t="shared" si="81"/>
        <v>5137.466896299874</v>
      </c>
      <c r="H105" s="1424">
        <f t="shared" si="81"/>
        <v>5096.8764097591456</v>
      </c>
      <c r="I105" s="1424">
        <f t="shared" si="81"/>
        <v>5051.1160219817393</v>
      </c>
      <c r="J105" s="1424">
        <f t="shared" si="81"/>
        <v>4999.2311058548858</v>
      </c>
      <c r="K105" s="1424">
        <f t="shared" si="81"/>
        <v>4940.0570537615295</v>
      </c>
      <c r="L105" s="1424">
        <f t="shared" si="81"/>
        <v>4872.1790069214712</v>
      </c>
      <c r="M105" s="1424">
        <f t="shared" si="81"/>
        <v>4793.8830835575891</v>
      </c>
      <c r="N105" s="1424">
        <f t="shared" si="81"/>
        <v>4703.0973327826232</v>
      </c>
      <c r="O105" s="1421"/>
    </row>
    <row r="106" spans="1:29" ht="16.5" thickBot="1" x14ac:dyDescent="0.3">
      <c r="A106" s="1304"/>
      <c r="B106" s="1304" t="s">
        <v>321</v>
      </c>
      <c r="C106" s="1304"/>
      <c r="D106" s="1424">
        <f>+O101/(O102-O$29)*D103*N103</f>
        <v>1442.3526234607061</v>
      </c>
      <c r="E106" s="1424">
        <f t="shared" ref="E106:N106" si="82">+P101/(P102-P$29)*O103/E103</f>
        <v>1305.4056081776091</v>
      </c>
      <c r="F106" s="1424">
        <f t="shared" si="82"/>
        <v>1260.8737698035777</v>
      </c>
      <c r="G106" s="1424">
        <f t="shared" si="82"/>
        <v>1228.446571227659</v>
      </c>
      <c r="H106" s="1424">
        <f t="shared" si="82"/>
        <v>1218.2637580346352</v>
      </c>
      <c r="I106" s="1424">
        <f t="shared" si="82"/>
        <v>1210.2773159673841</v>
      </c>
      <c r="J106" s="1424">
        <f t="shared" si="82"/>
        <v>1204.426516485561</v>
      </c>
      <c r="K106" s="1424">
        <f t="shared" si="82"/>
        <v>1200.6599911437338</v>
      </c>
      <c r="L106" s="1424">
        <f t="shared" si="82"/>
        <v>1198.9351723358086</v>
      </c>
      <c r="M106" s="1424">
        <f t="shared" si="82"/>
        <v>1199.2177875796385</v>
      </c>
      <c r="N106" s="1424">
        <f t="shared" si="82"/>
        <v>1201.48140164808</v>
      </c>
      <c r="O106" s="1421"/>
    </row>
    <row r="107" spans="1:29" ht="16.5" thickBot="1" x14ac:dyDescent="0.3">
      <c r="A107" s="671"/>
      <c r="B107" s="1147" t="s">
        <v>300</v>
      </c>
      <c r="C107" s="1148"/>
      <c r="D107" s="1426">
        <f>+D105+D106</f>
        <v>6669.5916565557072</v>
      </c>
      <c r="E107" s="1426">
        <f t="shared" ref="E107:N107" si="83">+E105+E106</f>
        <v>6508.5863105591079</v>
      </c>
      <c r="F107" s="1426">
        <f t="shared" si="83"/>
        <v>6434.5391292740787</v>
      </c>
      <c r="G107" s="1426">
        <f t="shared" si="83"/>
        <v>6365.9134675275327</v>
      </c>
      <c r="H107" s="1426">
        <f t="shared" si="83"/>
        <v>6315.1401677937811</v>
      </c>
      <c r="I107" s="1426">
        <f t="shared" si="83"/>
        <v>6261.3933379491236</v>
      </c>
      <c r="J107" s="1426">
        <f t="shared" si="83"/>
        <v>6203.6576223404463</v>
      </c>
      <c r="K107" s="1426">
        <f t="shared" si="83"/>
        <v>6140.7170449052628</v>
      </c>
      <c r="L107" s="1426">
        <f t="shared" si="83"/>
        <v>6071.1141792572798</v>
      </c>
      <c r="M107" s="1426">
        <f t="shared" si="83"/>
        <v>5993.1008711372278</v>
      </c>
      <c r="N107" s="1426">
        <f t="shared" si="83"/>
        <v>5904.5787344307028</v>
      </c>
      <c r="O107" s="671"/>
    </row>
    <row r="108" spans="1:29" ht="16.5" thickBot="1" x14ac:dyDescent="0.3">
      <c r="A108" s="671"/>
      <c r="B108" s="1304" t="s">
        <v>301</v>
      </c>
      <c r="C108" s="671"/>
      <c r="D108" s="1128"/>
      <c r="E108" s="1128"/>
      <c r="F108" s="1128"/>
      <c r="G108" s="1128"/>
      <c r="H108" s="1128"/>
      <c r="I108" s="1128"/>
      <c r="J108" s="1128"/>
      <c r="K108" s="1128"/>
      <c r="L108" s="1128"/>
      <c r="M108" s="1128"/>
      <c r="N108" s="1128"/>
      <c r="O108" s="671"/>
    </row>
    <row r="109" spans="1:29" ht="16.5" thickBot="1" x14ac:dyDescent="0.3">
      <c r="A109" s="1427" t="s">
        <v>322</v>
      </c>
      <c r="B109" s="1428" t="s">
        <v>303</v>
      </c>
      <c r="C109" s="1429"/>
      <c r="D109" s="1430">
        <f t="shared" ref="D109:N109" si="84">+D107+D108</f>
        <v>6669.5916565557072</v>
      </c>
      <c r="E109" s="1430">
        <f t="shared" si="84"/>
        <v>6508.5863105591079</v>
      </c>
      <c r="F109" s="1430">
        <f t="shared" si="84"/>
        <v>6434.5391292740787</v>
      </c>
      <c r="G109" s="1430">
        <f t="shared" si="84"/>
        <v>6365.9134675275327</v>
      </c>
      <c r="H109" s="1430">
        <f t="shared" si="84"/>
        <v>6315.1401677937811</v>
      </c>
      <c r="I109" s="1430">
        <f t="shared" si="84"/>
        <v>6261.3933379491236</v>
      </c>
      <c r="J109" s="1430">
        <f t="shared" si="84"/>
        <v>6203.6576223404463</v>
      </c>
      <c r="K109" s="1430">
        <f t="shared" si="84"/>
        <v>6140.7170449052628</v>
      </c>
      <c r="L109" s="1430">
        <f t="shared" si="84"/>
        <v>6071.1141792572798</v>
      </c>
      <c r="M109" s="1430">
        <f t="shared" si="84"/>
        <v>5993.1008711372278</v>
      </c>
      <c r="N109" s="1430">
        <f t="shared" si="84"/>
        <v>5904.5787344307028</v>
      </c>
      <c r="O109" s="67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9"/>
  <sheetViews>
    <sheetView showGridLines="0" topLeftCell="A77" workbookViewId="0">
      <selection activeCell="C96" sqref="C96"/>
    </sheetView>
  </sheetViews>
  <sheetFormatPr baseColWidth="10" defaultColWidth="11.42578125" defaultRowHeight="15.75" x14ac:dyDescent="0.25"/>
  <cols>
    <col min="1" max="1" width="7.7109375" style="813" customWidth="1"/>
    <col min="2" max="2" width="54.5703125" style="813" customWidth="1"/>
    <col min="3" max="3" width="58.28515625" style="813" customWidth="1"/>
    <col min="4" max="4" width="15.42578125" style="813" bestFit="1" customWidth="1"/>
    <col min="5" max="15" width="17.7109375" style="813" bestFit="1" customWidth="1"/>
    <col min="16" max="27" width="17.7109375" style="671" bestFit="1" customWidth="1"/>
    <col min="28" max="28" width="17.7109375" style="671" customWidth="1"/>
    <col min="29" max="256" width="11.42578125" style="671"/>
    <col min="257" max="257" width="7.7109375" style="671" customWidth="1"/>
    <col min="258" max="258" width="54.7109375" style="671" customWidth="1"/>
    <col min="259" max="259" width="58.28515625" style="671" customWidth="1"/>
    <col min="260" max="260" width="15.42578125" style="671" bestFit="1" customWidth="1"/>
    <col min="261" max="283" width="17.7109375" style="671" bestFit="1" customWidth="1"/>
    <col min="284" max="284" width="17.7109375" style="671" customWidth="1"/>
    <col min="285" max="512" width="11.42578125" style="671"/>
    <col min="513" max="513" width="7.7109375" style="671" customWidth="1"/>
    <col min="514" max="514" width="54.7109375" style="671" customWidth="1"/>
    <col min="515" max="515" width="58.28515625" style="671" customWidth="1"/>
    <col min="516" max="516" width="15.42578125" style="671" bestFit="1" customWidth="1"/>
    <col min="517" max="539" width="17.7109375" style="671" bestFit="1" customWidth="1"/>
    <col min="540" max="540" width="17.7109375" style="671" customWidth="1"/>
    <col min="541" max="768" width="11.42578125" style="671"/>
    <col min="769" max="769" width="7.7109375" style="671" customWidth="1"/>
    <col min="770" max="770" width="54.7109375" style="671" customWidth="1"/>
    <col min="771" max="771" width="58.28515625" style="671" customWidth="1"/>
    <col min="772" max="772" width="15.42578125" style="671" bestFit="1" customWidth="1"/>
    <col min="773" max="795" width="17.7109375" style="671" bestFit="1" customWidth="1"/>
    <col min="796" max="796" width="17.7109375" style="671" customWidth="1"/>
    <col min="797" max="1024" width="11.42578125" style="671"/>
    <col min="1025" max="1025" width="7.7109375" style="671" customWidth="1"/>
    <col min="1026" max="1026" width="54.7109375" style="671" customWidth="1"/>
    <col min="1027" max="1027" width="58.28515625" style="671" customWidth="1"/>
    <col min="1028" max="1028" width="15.42578125" style="671" bestFit="1" customWidth="1"/>
    <col min="1029" max="1051" width="17.7109375" style="671" bestFit="1" customWidth="1"/>
    <col min="1052" max="1052" width="17.7109375" style="671" customWidth="1"/>
    <col min="1053" max="1280" width="11.42578125" style="671"/>
    <col min="1281" max="1281" width="7.7109375" style="671" customWidth="1"/>
    <col min="1282" max="1282" width="54.7109375" style="671" customWidth="1"/>
    <col min="1283" max="1283" width="58.28515625" style="671" customWidth="1"/>
    <col min="1284" max="1284" width="15.42578125" style="671" bestFit="1" customWidth="1"/>
    <col min="1285" max="1307" width="17.7109375" style="671" bestFit="1" customWidth="1"/>
    <col min="1308" max="1308" width="17.7109375" style="671" customWidth="1"/>
    <col min="1309" max="1536" width="11.42578125" style="671"/>
    <col min="1537" max="1537" width="7.7109375" style="671" customWidth="1"/>
    <col min="1538" max="1538" width="54.7109375" style="671" customWidth="1"/>
    <col min="1539" max="1539" width="58.28515625" style="671" customWidth="1"/>
    <col min="1540" max="1540" width="15.42578125" style="671" bestFit="1" customWidth="1"/>
    <col min="1541" max="1563" width="17.7109375" style="671" bestFit="1" customWidth="1"/>
    <col min="1564" max="1564" width="17.7109375" style="671" customWidth="1"/>
    <col min="1565" max="1792" width="11.42578125" style="671"/>
    <col min="1793" max="1793" width="7.7109375" style="671" customWidth="1"/>
    <col min="1794" max="1794" width="54.7109375" style="671" customWidth="1"/>
    <col min="1795" max="1795" width="58.28515625" style="671" customWidth="1"/>
    <col min="1796" max="1796" width="15.42578125" style="671" bestFit="1" customWidth="1"/>
    <col min="1797" max="1819" width="17.7109375" style="671" bestFit="1" customWidth="1"/>
    <col min="1820" max="1820" width="17.7109375" style="671" customWidth="1"/>
    <col min="1821" max="2048" width="11.42578125" style="671"/>
    <col min="2049" max="2049" width="7.7109375" style="671" customWidth="1"/>
    <col min="2050" max="2050" width="54.7109375" style="671" customWidth="1"/>
    <col min="2051" max="2051" width="58.28515625" style="671" customWidth="1"/>
    <col min="2052" max="2052" width="15.42578125" style="671" bestFit="1" customWidth="1"/>
    <col min="2053" max="2075" width="17.7109375" style="671" bestFit="1" customWidth="1"/>
    <col min="2076" max="2076" width="17.7109375" style="671" customWidth="1"/>
    <col min="2077" max="2304" width="11.42578125" style="671"/>
    <col min="2305" max="2305" width="7.7109375" style="671" customWidth="1"/>
    <col min="2306" max="2306" width="54.7109375" style="671" customWidth="1"/>
    <col min="2307" max="2307" width="58.28515625" style="671" customWidth="1"/>
    <col min="2308" max="2308" width="15.42578125" style="671" bestFit="1" customWidth="1"/>
    <col min="2309" max="2331" width="17.7109375" style="671" bestFit="1" customWidth="1"/>
    <col min="2332" max="2332" width="17.7109375" style="671" customWidth="1"/>
    <col min="2333" max="2560" width="11.42578125" style="671"/>
    <col min="2561" max="2561" width="7.7109375" style="671" customWidth="1"/>
    <col min="2562" max="2562" width="54.7109375" style="671" customWidth="1"/>
    <col min="2563" max="2563" width="58.28515625" style="671" customWidth="1"/>
    <col min="2564" max="2564" width="15.42578125" style="671" bestFit="1" customWidth="1"/>
    <col min="2565" max="2587" width="17.7109375" style="671" bestFit="1" customWidth="1"/>
    <col min="2588" max="2588" width="17.7109375" style="671" customWidth="1"/>
    <col min="2589" max="2816" width="11.42578125" style="671"/>
    <col min="2817" max="2817" width="7.7109375" style="671" customWidth="1"/>
    <col min="2818" max="2818" width="54.7109375" style="671" customWidth="1"/>
    <col min="2819" max="2819" width="58.28515625" style="671" customWidth="1"/>
    <col min="2820" max="2820" width="15.42578125" style="671" bestFit="1" customWidth="1"/>
    <col min="2821" max="2843" width="17.7109375" style="671" bestFit="1" customWidth="1"/>
    <col min="2844" max="2844" width="17.7109375" style="671" customWidth="1"/>
    <col min="2845" max="3072" width="11.42578125" style="671"/>
    <col min="3073" max="3073" width="7.7109375" style="671" customWidth="1"/>
    <col min="3074" max="3074" width="54.7109375" style="671" customWidth="1"/>
    <col min="3075" max="3075" width="58.28515625" style="671" customWidth="1"/>
    <col min="3076" max="3076" width="15.42578125" style="671" bestFit="1" customWidth="1"/>
    <col min="3077" max="3099" width="17.7109375" style="671" bestFit="1" customWidth="1"/>
    <col min="3100" max="3100" width="17.7109375" style="671" customWidth="1"/>
    <col min="3101" max="3328" width="11.42578125" style="671"/>
    <col min="3329" max="3329" width="7.7109375" style="671" customWidth="1"/>
    <col min="3330" max="3330" width="54.7109375" style="671" customWidth="1"/>
    <col min="3331" max="3331" width="58.28515625" style="671" customWidth="1"/>
    <col min="3332" max="3332" width="15.42578125" style="671" bestFit="1" customWidth="1"/>
    <col min="3333" max="3355" width="17.7109375" style="671" bestFit="1" customWidth="1"/>
    <col min="3356" max="3356" width="17.7109375" style="671" customWidth="1"/>
    <col min="3357" max="3584" width="11.42578125" style="671"/>
    <col min="3585" max="3585" width="7.7109375" style="671" customWidth="1"/>
    <col min="3586" max="3586" width="54.7109375" style="671" customWidth="1"/>
    <col min="3587" max="3587" width="58.28515625" style="671" customWidth="1"/>
    <col min="3588" max="3588" width="15.42578125" style="671" bestFit="1" customWidth="1"/>
    <col min="3589" max="3611" width="17.7109375" style="671" bestFit="1" customWidth="1"/>
    <col min="3612" max="3612" width="17.7109375" style="671" customWidth="1"/>
    <col min="3613" max="3840" width="11.42578125" style="671"/>
    <col min="3841" max="3841" width="7.7109375" style="671" customWidth="1"/>
    <col min="3842" max="3842" width="54.7109375" style="671" customWidth="1"/>
    <col min="3843" max="3843" width="58.28515625" style="671" customWidth="1"/>
    <col min="3844" max="3844" width="15.42578125" style="671" bestFit="1" customWidth="1"/>
    <col min="3845" max="3867" width="17.7109375" style="671" bestFit="1" customWidth="1"/>
    <col min="3868" max="3868" width="17.7109375" style="671" customWidth="1"/>
    <col min="3869" max="4096" width="11.42578125" style="671"/>
    <col min="4097" max="4097" width="7.7109375" style="671" customWidth="1"/>
    <col min="4098" max="4098" width="54.7109375" style="671" customWidth="1"/>
    <col min="4099" max="4099" width="58.28515625" style="671" customWidth="1"/>
    <col min="4100" max="4100" width="15.42578125" style="671" bestFit="1" customWidth="1"/>
    <col min="4101" max="4123" width="17.7109375" style="671" bestFit="1" customWidth="1"/>
    <col min="4124" max="4124" width="17.7109375" style="671" customWidth="1"/>
    <col min="4125" max="4352" width="11.42578125" style="671"/>
    <col min="4353" max="4353" width="7.7109375" style="671" customWidth="1"/>
    <col min="4354" max="4354" width="54.7109375" style="671" customWidth="1"/>
    <col min="4355" max="4355" width="58.28515625" style="671" customWidth="1"/>
    <col min="4356" max="4356" width="15.42578125" style="671" bestFit="1" customWidth="1"/>
    <col min="4357" max="4379" width="17.7109375" style="671" bestFit="1" customWidth="1"/>
    <col min="4380" max="4380" width="17.7109375" style="671" customWidth="1"/>
    <col min="4381" max="4608" width="11.42578125" style="671"/>
    <col min="4609" max="4609" width="7.7109375" style="671" customWidth="1"/>
    <col min="4610" max="4610" width="54.7109375" style="671" customWidth="1"/>
    <col min="4611" max="4611" width="58.28515625" style="671" customWidth="1"/>
    <col min="4612" max="4612" width="15.42578125" style="671" bestFit="1" customWidth="1"/>
    <col min="4613" max="4635" width="17.7109375" style="671" bestFit="1" customWidth="1"/>
    <col min="4636" max="4636" width="17.7109375" style="671" customWidth="1"/>
    <col min="4637" max="4864" width="11.42578125" style="671"/>
    <col min="4865" max="4865" width="7.7109375" style="671" customWidth="1"/>
    <col min="4866" max="4866" width="54.7109375" style="671" customWidth="1"/>
    <col min="4867" max="4867" width="58.28515625" style="671" customWidth="1"/>
    <col min="4868" max="4868" width="15.42578125" style="671" bestFit="1" customWidth="1"/>
    <col min="4869" max="4891" width="17.7109375" style="671" bestFit="1" customWidth="1"/>
    <col min="4892" max="4892" width="17.7109375" style="671" customWidth="1"/>
    <col min="4893" max="5120" width="11.42578125" style="671"/>
    <col min="5121" max="5121" width="7.7109375" style="671" customWidth="1"/>
    <col min="5122" max="5122" width="54.7109375" style="671" customWidth="1"/>
    <col min="5123" max="5123" width="58.28515625" style="671" customWidth="1"/>
    <col min="5124" max="5124" width="15.42578125" style="671" bestFit="1" customWidth="1"/>
    <col min="5125" max="5147" width="17.7109375" style="671" bestFit="1" customWidth="1"/>
    <col min="5148" max="5148" width="17.7109375" style="671" customWidth="1"/>
    <col min="5149" max="5376" width="11.42578125" style="671"/>
    <col min="5377" max="5377" width="7.7109375" style="671" customWidth="1"/>
    <col min="5378" max="5378" width="54.7109375" style="671" customWidth="1"/>
    <col min="5379" max="5379" width="58.28515625" style="671" customWidth="1"/>
    <col min="5380" max="5380" width="15.42578125" style="671" bestFit="1" customWidth="1"/>
    <col min="5381" max="5403" width="17.7109375" style="671" bestFit="1" customWidth="1"/>
    <col min="5404" max="5404" width="17.7109375" style="671" customWidth="1"/>
    <col min="5405" max="5632" width="11.42578125" style="671"/>
    <col min="5633" max="5633" width="7.7109375" style="671" customWidth="1"/>
    <col min="5634" max="5634" width="54.7109375" style="671" customWidth="1"/>
    <col min="5635" max="5635" width="58.28515625" style="671" customWidth="1"/>
    <col min="5636" max="5636" width="15.42578125" style="671" bestFit="1" customWidth="1"/>
    <col min="5637" max="5659" width="17.7109375" style="671" bestFit="1" customWidth="1"/>
    <col min="5660" max="5660" width="17.7109375" style="671" customWidth="1"/>
    <col min="5661" max="5888" width="11.42578125" style="671"/>
    <col min="5889" max="5889" width="7.7109375" style="671" customWidth="1"/>
    <col min="5890" max="5890" width="54.7109375" style="671" customWidth="1"/>
    <col min="5891" max="5891" width="58.28515625" style="671" customWidth="1"/>
    <col min="5892" max="5892" width="15.42578125" style="671" bestFit="1" customWidth="1"/>
    <col min="5893" max="5915" width="17.7109375" style="671" bestFit="1" customWidth="1"/>
    <col min="5916" max="5916" width="17.7109375" style="671" customWidth="1"/>
    <col min="5917" max="6144" width="11.42578125" style="671"/>
    <col min="6145" max="6145" width="7.7109375" style="671" customWidth="1"/>
    <col min="6146" max="6146" width="54.7109375" style="671" customWidth="1"/>
    <col min="6147" max="6147" width="58.28515625" style="671" customWidth="1"/>
    <col min="6148" max="6148" width="15.42578125" style="671" bestFit="1" customWidth="1"/>
    <col min="6149" max="6171" width="17.7109375" style="671" bestFit="1" customWidth="1"/>
    <col min="6172" max="6172" width="17.7109375" style="671" customWidth="1"/>
    <col min="6173" max="6400" width="11.42578125" style="671"/>
    <col min="6401" max="6401" width="7.7109375" style="671" customWidth="1"/>
    <col min="6402" max="6402" width="54.7109375" style="671" customWidth="1"/>
    <col min="6403" max="6403" width="58.28515625" style="671" customWidth="1"/>
    <col min="6404" max="6404" width="15.42578125" style="671" bestFit="1" customWidth="1"/>
    <col min="6405" max="6427" width="17.7109375" style="671" bestFit="1" customWidth="1"/>
    <col min="6428" max="6428" width="17.7109375" style="671" customWidth="1"/>
    <col min="6429" max="6656" width="11.42578125" style="671"/>
    <col min="6657" max="6657" width="7.7109375" style="671" customWidth="1"/>
    <col min="6658" max="6658" width="54.7109375" style="671" customWidth="1"/>
    <col min="6659" max="6659" width="58.28515625" style="671" customWidth="1"/>
    <col min="6660" max="6660" width="15.42578125" style="671" bestFit="1" customWidth="1"/>
    <col min="6661" max="6683" width="17.7109375" style="671" bestFit="1" customWidth="1"/>
    <col min="6684" max="6684" width="17.7109375" style="671" customWidth="1"/>
    <col min="6685" max="6912" width="11.42578125" style="671"/>
    <col min="6913" max="6913" width="7.7109375" style="671" customWidth="1"/>
    <col min="6914" max="6914" width="54.7109375" style="671" customWidth="1"/>
    <col min="6915" max="6915" width="58.28515625" style="671" customWidth="1"/>
    <col min="6916" max="6916" width="15.42578125" style="671" bestFit="1" customWidth="1"/>
    <col min="6917" max="6939" width="17.7109375" style="671" bestFit="1" customWidth="1"/>
    <col min="6940" max="6940" width="17.7109375" style="671" customWidth="1"/>
    <col min="6941" max="7168" width="11.42578125" style="671"/>
    <col min="7169" max="7169" width="7.7109375" style="671" customWidth="1"/>
    <col min="7170" max="7170" width="54.7109375" style="671" customWidth="1"/>
    <col min="7171" max="7171" width="58.28515625" style="671" customWidth="1"/>
    <col min="7172" max="7172" width="15.42578125" style="671" bestFit="1" customWidth="1"/>
    <col min="7173" max="7195" width="17.7109375" style="671" bestFit="1" customWidth="1"/>
    <col min="7196" max="7196" width="17.7109375" style="671" customWidth="1"/>
    <col min="7197" max="7424" width="11.42578125" style="671"/>
    <col min="7425" max="7425" width="7.7109375" style="671" customWidth="1"/>
    <col min="7426" max="7426" width="54.7109375" style="671" customWidth="1"/>
    <col min="7427" max="7427" width="58.28515625" style="671" customWidth="1"/>
    <col min="7428" max="7428" width="15.42578125" style="671" bestFit="1" customWidth="1"/>
    <col min="7429" max="7451" width="17.7109375" style="671" bestFit="1" customWidth="1"/>
    <col min="7452" max="7452" width="17.7109375" style="671" customWidth="1"/>
    <col min="7453" max="7680" width="11.42578125" style="671"/>
    <col min="7681" max="7681" width="7.7109375" style="671" customWidth="1"/>
    <col min="7682" max="7682" width="54.7109375" style="671" customWidth="1"/>
    <col min="7683" max="7683" width="58.28515625" style="671" customWidth="1"/>
    <col min="7684" max="7684" width="15.42578125" style="671" bestFit="1" customWidth="1"/>
    <col min="7685" max="7707" width="17.7109375" style="671" bestFit="1" customWidth="1"/>
    <col min="7708" max="7708" width="17.7109375" style="671" customWidth="1"/>
    <col min="7709" max="7936" width="11.42578125" style="671"/>
    <col min="7937" max="7937" width="7.7109375" style="671" customWidth="1"/>
    <col min="7938" max="7938" width="54.7109375" style="671" customWidth="1"/>
    <col min="7939" max="7939" width="58.28515625" style="671" customWidth="1"/>
    <col min="7940" max="7940" width="15.42578125" style="671" bestFit="1" customWidth="1"/>
    <col min="7941" max="7963" width="17.7109375" style="671" bestFit="1" customWidth="1"/>
    <col min="7964" max="7964" width="17.7109375" style="671" customWidth="1"/>
    <col min="7965" max="8192" width="11.42578125" style="671"/>
    <col min="8193" max="8193" width="7.7109375" style="671" customWidth="1"/>
    <col min="8194" max="8194" width="54.7109375" style="671" customWidth="1"/>
    <col min="8195" max="8195" width="58.28515625" style="671" customWidth="1"/>
    <col min="8196" max="8196" width="15.42578125" style="671" bestFit="1" customWidth="1"/>
    <col min="8197" max="8219" width="17.7109375" style="671" bestFit="1" customWidth="1"/>
    <col min="8220" max="8220" width="17.7109375" style="671" customWidth="1"/>
    <col min="8221" max="8448" width="11.42578125" style="671"/>
    <col min="8449" max="8449" width="7.7109375" style="671" customWidth="1"/>
    <col min="8450" max="8450" width="54.7109375" style="671" customWidth="1"/>
    <col min="8451" max="8451" width="58.28515625" style="671" customWidth="1"/>
    <col min="8452" max="8452" width="15.42578125" style="671" bestFit="1" customWidth="1"/>
    <col min="8453" max="8475" width="17.7109375" style="671" bestFit="1" customWidth="1"/>
    <col min="8476" max="8476" width="17.7109375" style="671" customWidth="1"/>
    <col min="8477" max="8704" width="11.42578125" style="671"/>
    <col min="8705" max="8705" width="7.7109375" style="671" customWidth="1"/>
    <col min="8706" max="8706" width="54.7109375" style="671" customWidth="1"/>
    <col min="8707" max="8707" width="58.28515625" style="671" customWidth="1"/>
    <col min="8708" max="8708" width="15.42578125" style="671" bestFit="1" customWidth="1"/>
    <col min="8709" max="8731" width="17.7109375" style="671" bestFit="1" customWidth="1"/>
    <col min="8732" max="8732" width="17.7109375" style="671" customWidth="1"/>
    <col min="8733" max="8960" width="11.42578125" style="671"/>
    <col min="8961" max="8961" width="7.7109375" style="671" customWidth="1"/>
    <col min="8962" max="8962" width="54.7109375" style="671" customWidth="1"/>
    <col min="8963" max="8963" width="58.28515625" style="671" customWidth="1"/>
    <col min="8964" max="8964" width="15.42578125" style="671" bestFit="1" customWidth="1"/>
    <col min="8965" max="8987" width="17.7109375" style="671" bestFit="1" customWidth="1"/>
    <col min="8988" max="8988" width="17.7109375" style="671" customWidth="1"/>
    <col min="8989" max="9216" width="11.42578125" style="671"/>
    <col min="9217" max="9217" width="7.7109375" style="671" customWidth="1"/>
    <col min="9218" max="9218" width="54.7109375" style="671" customWidth="1"/>
    <col min="9219" max="9219" width="58.28515625" style="671" customWidth="1"/>
    <col min="9220" max="9220" width="15.42578125" style="671" bestFit="1" customWidth="1"/>
    <col min="9221" max="9243" width="17.7109375" style="671" bestFit="1" customWidth="1"/>
    <col min="9244" max="9244" width="17.7109375" style="671" customWidth="1"/>
    <col min="9245" max="9472" width="11.42578125" style="671"/>
    <col min="9473" max="9473" width="7.7109375" style="671" customWidth="1"/>
    <col min="9474" max="9474" width="54.7109375" style="671" customWidth="1"/>
    <col min="9475" max="9475" width="58.28515625" style="671" customWidth="1"/>
    <col min="9476" max="9476" width="15.42578125" style="671" bestFit="1" customWidth="1"/>
    <col min="9477" max="9499" width="17.7109375" style="671" bestFit="1" customWidth="1"/>
    <col min="9500" max="9500" width="17.7109375" style="671" customWidth="1"/>
    <col min="9501" max="9728" width="11.42578125" style="671"/>
    <col min="9729" max="9729" width="7.7109375" style="671" customWidth="1"/>
    <col min="9730" max="9730" width="54.7109375" style="671" customWidth="1"/>
    <col min="9731" max="9731" width="58.28515625" style="671" customWidth="1"/>
    <col min="9732" max="9732" width="15.42578125" style="671" bestFit="1" customWidth="1"/>
    <col min="9733" max="9755" width="17.7109375" style="671" bestFit="1" customWidth="1"/>
    <col min="9756" max="9756" width="17.7109375" style="671" customWidth="1"/>
    <col min="9757" max="9984" width="11.42578125" style="671"/>
    <col min="9985" max="9985" width="7.7109375" style="671" customWidth="1"/>
    <col min="9986" max="9986" width="54.7109375" style="671" customWidth="1"/>
    <col min="9987" max="9987" width="58.28515625" style="671" customWidth="1"/>
    <col min="9988" max="9988" width="15.42578125" style="671" bestFit="1" customWidth="1"/>
    <col min="9989" max="10011" width="17.7109375" style="671" bestFit="1" customWidth="1"/>
    <col min="10012" max="10012" width="17.7109375" style="671" customWidth="1"/>
    <col min="10013" max="10240" width="11.42578125" style="671"/>
    <col min="10241" max="10241" width="7.7109375" style="671" customWidth="1"/>
    <col min="10242" max="10242" width="54.7109375" style="671" customWidth="1"/>
    <col min="10243" max="10243" width="58.28515625" style="671" customWidth="1"/>
    <col min="10244" max="10244" width="15.42578125" style="671" bestFit="1" customWidth="1"/>
    <col min="10245" max="10267" width="17.7109375" style="671" bestFit="1" customWidth="1"/>
    <col min="10268" max="10268" width="17.7109375" style="671" customWidth="1"/>
    <col min="10269" max="10496" width="11.42578125" style="671"/>
    <col min="10497" max="10497" width="7.7109375" style="671" customWidth="1"/>
    <col min="10498" max="10498" width="54.7109375" style="671" customWidth="1"/>
    <col min="10499" max="10499" width="58.28515625" style="671" customWidth="1"/>
    <col min="10500" max="10500" width="15.42578125" style="671" bestFit="1" customWidth="1"/>
    <col min="10501" max="10523" width="17.7109375" style="671" bestFit="1" customWidth="1"/>
    <col min="10524" max="10524" width="17.7109375" style="671" customWidth="1"/>
    <col min="10525" max="10752" width="11.42578125" style="671"/>
    <col min="10753" max="10753" width="7.7109375" style="671" customWidth="1"/>
    <col min="10754" max="10754" width="54.7109375" style="671" customWidth="1"/>
    <col min="10755" max="10755" width="58.28515625" style="671" customWidth="1"/>
    <col min="10756" max="10756" width="15.42578125" style="671" bestFit="1" customWidth="1"/>
    <col min="10757" max="10779" width="17.7109375" style="671" bestFit="1" customWidth="1"/>
    <col min="10780" max="10780" width="17.7109375" style="671" customWidth="1"/>
    <col min="10781" max="11008" width="11.42578125" style="671"/>
    <col min="11009" max="11009" width="7.7109375" style="671" customWidth="1"/>
    <col min="11010" max="11010" width="54.7109375" style="671" customWidth="1"/>
    <col min="11011" max="11011" width="58.28515625" style="671" customWidth="1"/>
    <col min="11012" max="11012" width="15.42578125" style="671" bestFit="1" customWidth="1"/>
    <col min="11013" max="11035" width="17.7109375" style="671" bestFit="1" customWidth="1"/>
    <col min="11036" max="11036" width="17.7109375" style="671" customWidth="1"/>
    <col min="11037" max="11264" width="11.42578125" style="671"/>
    <col min="11265" max="11265" width="7.7109375" style="671" customWidth="1"/>
    <col min="11266" max="11266" width="54.7109375" style="671" customWidth="1"/>
    <col min="11267" max="11267" width="58.28515625" style="671" customWidth="1"/>
    <col min="11268" max="11268" width="15.42578125" style="671" bestFit="1" customWidth="1"/>
    <col min="11269" max="11291" width="17.7109375" style="671" bestFit="1" customWidth="1"/>
    <col min="11292" max="11292" width="17.7109375" style="671" customWidth="1"/>
    <col min="11293" max="11520" width="11.42578125" style="671"/>
    <col min="11521" max="11521" width="7.7109375" style="671" customWidth="1"/>
    <col min="11522" max="11522" width="54.7109375" style="671" customWidth="1"/>
    <col min="11523" max="11523" width="58.28515625" style="671" customWidth="1"/>
    <col min="11524" max="11524" width="15.42578125" style="671" bestFit="1" customWidth="1"/>
    <col min="11525" max="11547" width="17.7109375" style="671" bestFit="1" customWidth="1"/>
    <col min="11548" max="11548" width="17.7109375" style="671" customWidth="1"/>
    <col min="11549" max="11776" width="11.42578125" style="671"/>
    <col min="11777" max="11777" width="7.7109375" style="671" customWidth="1"/>
    <col min="11778" max="11778" width="54.7109375" style="671" customWidth="1"/>
    <col min="11779" max="11779" width="58.28515625" style="671" customWidth="1"/>
    <col min="11780" max="11780" width="15.42578125" style="671" bestFit="1" customWidth="1"/>
    <col min="11781" max="11803" width="17.7109375" style="671" bestFit="1" customWidth="1"/>
    <col min="11804" max="11804" width="17.7109375" style="671" customWidth="1"/>
    <col min="11805" max="12032" width="11.42578125" style="671"/>
    <col min="12033" max="12033" width="7.7109375" style="671" customWidth="1"/>
    <col min="12034" max="12034" width="54.7109375" style="671" customWidth="1"/>
    <col min="12035" max="12035" width="58.28515625" style="671" customWidth="1"/>
    <col min="12036" max="12036" width="15.42578125" style="671" bestFit="1" customWidth="1"/>
    <col min="12037" max="12059" width="17.7109375" style="671" bestFit="1" customWidth="1"/>
    <col min="12060" max="12060" width="17.7109375" style="671" customWidth="1"/>
    <col min="12061" max="12288" width="11.42578125" style="671"/>
    <col min="12289" max="12289" width="7.7109375" style="671" customWidth="1"/>
    <col min="12290" max="12290" width="54.7109375" style="671" customWidth="1"/>
    <col min="12291" max="12291" width="58.28515625" style="671" customWidth="1"/>
    <col min="12292" max="12292" width="15.42578125" style="671" bestFit="1" customWidth="1"/>
    <col min="12293" max="12315" width="17.7109375" style="671" bestFit="1" customWidth="1"/>
    <col min="12316" max="12316" width="17.7109375" style="671" customWidth="1"/>
    <col min="12317" max="12544" width="11.42578125" style="671"/>
    <col min="12545" max="12545" width="7.7109375" style="671" customWidth="1"/>
    <col min="12546" max="12546" width="54.7109375" style="671" customWidth="1"/>
    <col min="12547" max="12547" width="58.28515625" style="671" customWidth="1"/>
    <col min="12548" max="12548" width="15.42578125" style="671" bestFit="1" customWidth="1"/>
    <col min="12549" max="12571" width="17.7109375" style="671" bestFit="1" customWidth="1"/>
    <col min="12572" max="12572" width="17.7109375" style="671" customWidth="1"/>
    <col min="12573" max="12800" width="11.42578125" style="671"/>
    <col min="12801" max="12801" width="7.7109375" style="671" customWidth="1"/>
    <col min="12802" max="12802" width="54.7109375" style="671" customWidth="1"/>
    <col min="12803" max="12803" width="58.28515625" style="671" customWidth="1"/>
    <col min="12804" max="12804" width="15.42578125" style="671" bestFit="1" customWidth="1"/>
    <col min="12805" max="12827" width="17.7109375" style="671" bestFit="1" customWidth="1"/>
    <col min="12828" max="12828" width="17.7109375" style="671" customWidth="1"/>
    <col min="12829" max="13056" width="11.42578125" style="671"/>
    <col min="13057" max="13057" width="7.7109375" style="671" customWidth="1"/>
    <col min="13058" max="13058" width="54.7109375" style="671" customWidth="1"/>
    <col min="13059" max="13059" width="58.28515625" style="671" customWidth="1"/>
    <col min="13060" max="13060" width="15.42578125" style="671" bestFit="1" customWidth="1"/>
    <col min="13061" max="13083" width="17.7109375" style="671" bestFit="1" customWidth="1"/>
    <col min="13084" max="13084" width="17.7109375" style="671" customWidth="1"/>
    <col min="13085" max="13312" width="11.42578125" style="671"/>
    <col min="13313" max="13313" width="7.7109375" style="671" customWidth="1"/>
    <col min="13314" max="13314" width="54.7109375" style="671" customWidth="1"/>
    <col min="13315" max="13315" width="58.28515625" style="671" customWidth="1"/>
    <col min="13316" max="13316" width="15.42578125" style="671" bestFit="1" customWidth="1"/>
    <col min="13317" max="13339" width="17.7109375" style="671" bestFit="1" customWidth="1"/>
    <col min="13340" max="13340" width="17.7109375" style="671" customWidth="1"/>
    <col min="13341" max="13568" width="11.42578125" style="671"/>
    <col min="13569" max="13569" width="7.7109375" style="671" customWidth="1"/>
    <col min="13570" max="13570" width="54.7109375" style="671" customWidth="1"/>
    <col min="13571" max="13571" width="58.28515625" style="671" customWidth="1"/>
    <col min="13572" max="13572" width="15.42578125" style="671" bestFit="1" customWidth="1"/>
    <col min="13573" max="13595" width="17.7109375" style="671" bestFit="1" customWidth="1"/>
    <col min="13596" max="13596" width="17.7109375" style="671" customWidth="1"/>
    <col min="13597" max="13824" width="11.42578125" style="671"/>
    <col min="13825" max="13825" width="7.7109375" style="671" customWidth="1"/>
    <col min="13826" max="13826" width="54.7109375" style="671" customWidth="1"/>
    <col min="13827" max="13827" width="58.28515625" style="671" customWidth="1"/>
    <col min="13828" max="13828" width="15.42578125" style="671" bestFit="1" customWidth="1"/>
    <col min="13829" max="13851" width="17.7109375" style="671" bestFit="1" customWidth="1"/>
    <col min="13852" max="13852" width="17.7109375" style="671" customWidth="1"/>
    <col min="13853" max="14080" width="11.42578125" style="671"/>
    <col min="14081" max="14081" width="7.7109375" style="671" customWidth="1"/>
    <col min="14082" max="14082" width="54.7109375" style="671" customWidth="1"/>
    <col min="14083" max="14083" width="58.28515625" style="671" customWidth="1"/>
    <col min="14084" max="14084" width="15.42578125" style="671" bestFit="1" customWidth="1"/>
    <col min="14085" max="14107" width="17.7109375" style="671" bestFit="1" customWidth="1"/>
    <col min="14108" max="14108" width="17.7109375" style="671" customWidth="1"/>
    <col min="14109" max="14336" width="11.42578125" style="671"/>
    <col min="14337" max="14337" width="7.7109375" style="671" customWidth="1"/>
    <col min="14338" max="14338" width="54.7109375" style="671" customWidth="1"/>
    <col min="14339" max="14339" width="58.28515625" style="671" customWidth="1"/>
    <col min="14340" max="14340" width="15.42578125" style="671" bestFit="1" customWidth="1"/>
    <col min="14341" max="14363" width="17.7109375" style="671" bestFit="1" customWidth="1"/>
    <col min="14364" max="14364" width="17.7109375" style="671" customWidth="1"/>
    <col min="14365" max="14592" width="11.42578125" style="671"/>
    <col min="14593" max="14593" width="7.7109375" style="671" customWidth="1"/>
    <col min="14594" max="14594" width="54.7109375" style="671" customWidth="1"/>
    <col min="14595" max="14595" width="58.28515625" style="671" customWidth="1"/>
    <col min="14596" max="14596" width="15.42578125" style="671" bestFit="1" customWidth="1"/>
    <col min="14597" max="14619" width="17.7109375" style="671" bestFit="1" customWidth="1"/>
    <col min="14620" max="14620" width="17.7109375" style="671" customWidth="1"/>
    <col min="14621" max="14848" width="11.42578125" style="671"/>
    <col min="14849" max="14849" width="7.7109375" style="671" customWidth="1"/>
    <col min="14850" max="14850" width="54.7109375" style="671" customWidth="1"/>
    <col min="14851" max="14851" width="58.28515625" style="671" customWidth="1"/>
    <col min="14852" max="14852" width="15.42578125" style="671" bestFit="1" customWidth="1"/>
    <col min="14853" max="14875" width="17.7109375" style="671" bestFit="1" customWidth="1"/>
    <col min="14876" max="14876" width="17.7109375" style="671" customWidth="1"/>
    <col min="14877" max="15104" width="11.42578125" style="671"/>
    <col min="15105" max="15105" width="7.7109375" style="671" customWidth="1"/>
    <col min="15106" max="15106" width="54.7109375" style="671" customWidth="1"/>
    <col min="15107" max="15107" width="58.28515625" style="671" customWidth="1"/>
    <col min="15108" max="15108" width="15.42578125" style="671" bestFit="1" customWidth="1"/>
    <col min="15109" max="15131" width="17.7109375" style="671" bestFit="1" customWidth="1"/>
    <col min="15132" max="15132" width="17.7109375" style="671" customWidth="1"/>
    <col min="15133" max="15360" width="11.42578125" style="671"/>
    <col min="15361" max="15361" width="7.7109375" style="671" customWidth="1"/>
    <col min="15362" max="15362" width="54.7109375" style="671" customWidth="1"/>
    <col min="15363" max="15363" width="58.28515625" style="671" customWidth="1"/>
    <col min="15364" max="15364" width="15.42578125" style="671" bestFit="1" customWidth="1"/>
    <col min="15365" max="15387" width="17.7109375" style="671" bestFit="1" customWidth="1"/>
    <col min="15388" max="15388" width="17.7109375" style="671" customWidth="1"/>
    <col min="15389" max="15616" width="11.42578125" style="671"/>
    <col min="15617" max="15617" width="7.7109375" style="671" customWidth="1"/>
    <col min="15618" max="15618" width="54.7109375" style="671" customWidth="1"/>
    <col min="15619" max="15619" width="58.28515625" style="671" customWidth="1"/>
    <col min="15620" max="15620" width="15.42578125" style="671" bestFit="1" customWidth="1"/>
    <col min="15621" max="15643" width="17.7109375" style="671" bestFit="1" customWidth="1"/>
    <col min="15644" max="15644" width="17.7109375" style="671" customWidth="1"/>
    <col min="15645" max="15872" width="11.42578125" style="671"/>
    <col min="15873" max="15873" width="7.7109375" style="671" customWidth="1"/>
    <col min="15874" max="15874" width="54.7109375" style="671" customWidth="1"/>
    <col min="15875" max="15875" width="58.28515625" style="671" customWidth="1"/>
    <col min="15876" max="15876" width="15.42578125" style="671" bestFit="1" customWidth="1"/>
    <col min="15877" max="15899" width="17.7109375" style="671" bestFit="1" customWidth="1"/>
    <col min="15900" max="15900" width="17.7109375" style="671" customWidth="1"/>
    <col min="15901" max="16128" width="11.42578125" style="671"/>
    <col min="16129" max="16129" width="7.7109375" style="671" customWidth="1"/>
    <col min="16130" max="16130" width="54.7109375" style="671" customWidth="1"/>
    <col min="16131" max="16131" width="58.28515625" style="671" customWidth="1"/>
    <col min="16132" max="16132" width="15.42578125" style="671" bestFit="1" customWidth="1"/>
    <col min="16133" max="16155" width="17.7109375" style="671" bestFit="1" customWidth="1"/>
    <col min="16156" max="16156" width="17.7109375" style="671" customWidth="1"/>
    <col min="16157" max="16384" width="11.42578125" style="671"/>
  </cols>
  <sheetData>
    <row r="1" spans="1:28" ht="21" x14ac:dyDescent="0.35">
      <c r="A1" s="1037" t="s">
        <v>323</v>
      </c>
    </row>
    <row r="2" spans="1:28" ht="21" x14ac:dyDescent="0.35">
      <c r="A2" s="1037"/>
      <c r="B2" s="1037" t="s">
        <v>1266</v>
      </c>
    </row>
    <row r="3" spans="1:28" ht="16.5" thickBot="1" x14ac:dyDescent="0.3">
      <c r="A3" s="1038" t="s">
        <v>238</v>
      </c>
      <c r="B3" s="1038"/>
      <c r="C3" s="1038"/>
      <c r="D3" s="1038"/>
      <c r="E3" s="289"/>
      <c r="F3" s="1039"/>
      <c r="G3" s="1040"/>
      <c r="H3" s="1041"/>
      <c r="I3" s="671"/>
      <c r="J3" s="671"/>
      <c r="K3" s="671"/>
      <c r="L3" s="671"/>
      <c r="M3" s="671"/>
      <c r="N3" s="671"/>
      <c r="O3" s="671"/>
    </row>
    <row r="4" spans="1:28" x14ac:dyDescent="0.25">
      <c r="A4" s="1042"/>
      <c r="B4" s="1043"/>
      <c r="C4" s="1043"/>
      <c r="D4" s="1088">
        <v>0</v>
      </c>
      <c r="E4" s="1088">
        <v>1</v>
      </c>
      <c r="F4" s="1088">
        <v>2</v>
      </c>
      <c r="G4" s="1088">
        <v>3</v>
      </c>
      <c r="H4" s="1088">
        <v>4</v>
      </c>
      <c r="I4" s="1088">
        <v>5</v>
      </c>
      <c r="J4" s="1088">
        <v>6</v>
      </c>
      <c r="K4" s="1088">
        <v>7</v>
      </c>
      <c r="L4" s="1088">
        <v>8</v>
      </c>
      <c r="M4" s="1088">
        <v>9</v>
      </c>
      <c r="N4" s="1088">
        <v>10</v>
      </c>
      <c r="O4" s="1088">
        <v>11</v>
      </c>
      <c r="P4" s="1088">
        <v>12</v>
      </c>
      <c r="Q4" s="1088">
        <v>13</v>
      </c>
      <c r="R4" s="1088">
        <v>14</v>
      </c>
      <c r="S4" s="1088">
        <v>15</v>
      </c>
      <c r="T4" s="1088">
        <v>16</v>
      </c>
      <c r="U4" s="1088">
        <v>17</v>
      </c>
      <c r="V4" s="1088">
        <v>18</v>
      </c>
      <c r="W4" s="1088">
        <v>19</v>
      </c>
      <c r="X4" s="1088">
        <v>20</v>
      </c>
      <c r="Y4" s="1088">
        <v>21</v>
      </c>
      <c r="Z4" s="1088">
        <v>22</v>
      </c>
      <c r="AA4" s="1088">
        <v>23</v>
      </c>
      <c r="AB4" s="1088">
        <v>24</v>
      </c>
    </row>
    <row r="5" spans="1:28" x14ac:dyDescent="0.25">
      <c r="A5" s="1384"/>
      <c r="B5" s="1385"/>
      <c r="C5" s="1385"/>
      <c r="D5" s="1386"/>
      <c r="E5" s="1386"/>
      <c r="F5" s="1386"/>
      <c r="G5" s="1386"/>
      <c r="H5" s="1386"/>
      <c r="I5" s="1386"/>
      <c r="J5" s="1386"/>
      <c r="K5" s="1386"/>
      <c r="L5" s="1386"/>
      <c r="M5" s="1386"/>
      <c r="N5" s="1386"/>
      <c r="O5" s="1386"/>
      <c r="P5" s="1386"/>
      <c r="Q5" s="1386"/>
      <c r="R5" s="1386"/>
      <c r="S5" s="1386"/>
      <c r="T5" s="1386"/>
      <c r="U5" s="1386"/>
      <c r="V5" s="1386"/>
      <c r="W5" s="1386"/>
      <c r="X5" s="1386"/>
      <c r="Y5" s="1386"/>
      <c r="Z5" s="1386"/>
      <c r="AA5" s="1386"/>
      <c r="AB5" s="1386"/>
    </row>
    <row r="6" spans="1:28" x14ac:dyDescent="0.25">
      <c r="A6" s="1387" t="s">
        <v>239</v>
      </c>
      <c r="B6" s="1388"/>
      <c r="C6" s="1388"/>
      <c r="D6" s="1389">
        <v>0</v>
      </c>
      <c r="E6" s="1390">
        <f>+D6</f>
        <v>0</v>
      </c>
      <c r="F6" s="1390">
        <f t="shared" ref="F6:AB6" si="0">+E6</f>
        <v>0</v>
      </c>
      <c r="G6" s="1390">
        <f t="shared" si="0"/>
        <v>0</v>
      </c>
      <c r="H6" s="1390">
        <f t="shared" si="0"/>
        <v>0</v>
      </c>
      <c r="I6" s="1390">
        <f t="shared" si="0"/>
        <v>0</v>
      </c>
      <c r="J6" s="1390">
        <f t="shared" si="0"/>
        <v>0</v>
      </c>
      <c r="K6" s="1390">
        <f t="shared" si="0"/>
        <v>0</v>
      </c>
      <c r="L6" s="1390">
        <f t="shared" si="0"/>
        <v>0</v>
      </c>
      <c r="M6" s="1390">
        <f t="shared" si="0"/>
        <v>0</v>
      </c>
      <c r="N6" s="1390">
        <f t="shared" si="0"/>
        <v>0</v>
      </c>
      <c r="O6" s="1390">
        <f t="shared" si="0"/>
        <v>0</v>
      </c>
      <c r="P6" s="1390">
        <f t="shared" si="0"/>
        <v>0</v>
      </c>
      <c r="Q6" s="1390">
        <f t="shared" si="0"/>
        <v>0</v>
      </c>
      <c r="R6" s="1390">
        <f t="shared" si="0"/>
        <v>0</v>
      </c>
      <c r="S6" s="1390">
        <f t="shared" si="0"/>
        <v>0</v>
      </c>
      <c r="T6" s="1390">
        <f t="shared" si="0"/>
        <v>0</v>
      </c>
      <c r="U6" s="1390">
        <f t="shared" si="0"/>
        <v>0</v>
      </c>
      <c r="V6" s="1390">
        <f t="shared" si="0"/>
        <v>0</v>
      </c>
      <c r="W6" s="1390">
        <f t="shared" si="0"/>
        <v>0</v>
      </c>
      <c r="X6" s="1390">
        <f t="shared" si="0"/>
        <v>0</v>
      </c>
      <c r="Y6" s="1390">
        <f t="shared" si="0"/>
        <v>0</v>
      </c>
      <c r="Z6" s="1390">
        <f t="shared" si="0"/>
        <v>0</v>
      </c>
      <c r="AA6" s="1390">
        <f t="shared" si="0"/>
        <v>0</v>
      </c>
      <c r="AB6" s="1390">
        <f t="shared" si="0"/>
        <v>0</v>
      </c>
    </row>
    <row r="7" spans="1:28" x14ac:dyDescent="0.25">
      <c r="A7" s="1047" t="s">
        <v>240</v>
      </c>
      <c r="B7" s="1048"/>
      <c r="C7" s="1048"/>
      <c r="D7" s="1049">
        <f>+' A16 S. NORTE '!J27</f>
        <v>15319.84175</v>
      </c>
      <c r="E7" s="1049">
        <f>+D7+' A16 S. NORTE '!G80</f>
        <v>15491.6721875</v>
      </c>
      <c r="F7" s="1049">
        <f>+E7+'[2]ANEXOS '!$G$50</f>
        <v>15663.502625000001</v>
      </c>
      <c r="G7" s="1049">
        <f>+F7+'[2]ANEXOS '!$G$50</f>
        <v>15835.333062500002</v>
      </c>
      <c r="H7" s="1049">
        <f>+G7+'[2]ANEXOS '!$G$50</f>
        <v>16007.163500000002</v>
      </c>
      <c r="I7" s="1049">
        <f>+H7+'[2]ANEXOS '!$G$50</f>
        <v>16178.993937500003</v>
      </c>
      <c r="J7" s="1049">
        <f>+I7+'[2]ANEXOS '!$G$50</f>
        <v>16350.824375000004</v>
      </c>
      <c r="K7" s="1049">
        <f>+J7+'[2]ANEXOS '!$G$50</f>
        <v>16522.654812500004</v>
      </c>
      <c r="L7" s="1049">
        <f>+K7+'[2]ANEXOS '!$G$50</f>
        <v>16694.485250000005</v>
      </c>
      <c r="M7" s="1049">
        <f>+L7+'[2]ANEXOS '!$G$50</f>
        <v>16866.315687500006</v>
      </c>
      <c r="N7" s="1049">
        <f>+M7+'[2]ANEXOS '!$G$50</f>
        <v>17038.146125000007</v>
      </c>
      <c r="O7" s="1049">
        <f>+N7+'[2]ANEXOS '!$G$50</f>
        <v>17209.976562500007</v>
      </c>
      <c r="P7" s="1049">
        <f>+O7+'[2]ANEXOS '!$G$50</f>
        <v>17381.807000000008</v>
      </c>
      <c r="Q7" s="1049">
        <f>+P7+'[2]ANEXOS '!$G$50</f>
        <v>17553.637437500009</v>
      </c>
      <c r="R7" s="1049">
        <f>+Q7+'[2]ANEXOS '!$G$50</f>
        <v>17725.467875000009</v>
      </c>
      <c r="S7" s="1049">
        <f>+R7+'[2]ANEXOS '!$G$50</f>
        <v>17897.29831250001</v>
      </c>
      <c r="T7" s="1049">
        <f>+S7+'[2]ANEXOS '!$G$50</f>
        <v>18069.128750000011</v>
      </c>
      <c r="U7" s="1049">
        <f>+T7+'[2]ANEXOS '!$G$50</f>
        <v>18240.959187500011</v>
      </c>
      <c r="V7" s="1049">
        <f>+U7+'[2]ANEXOS '!$G$50</f>
        <v>18412.789625000012</v>
      </c>
      <c r="W7" s="1049">
        <f>+V7+'[2]ANEXOS '!$G$50</f>
        <v>18584.620062500013</v>
      </c>
      <c r="X7" s="1049">
        <f>+W7+'[2]ANEXOS '!$G$50</f>
        <v>18756.450500000014</v>
      </c>
      <c r="Y7" s="1049">
        <f>+X7+'[2]ANEXOS '!$G$50</f>
        <v>18928.280937500014</v>
      </c>
      <c r="Z7" s="1049">
        <f>+Y7+'[2]ANEXOS '!$G$50</f>
        <v>19100.111375000015</v>
      </c>
      <c r="AA7" s="1049">
        <f>+Z7+'[2]ANEXOS '!$G$50</f>
        <v>19271.941812500016</v>
      </c>
      <c r="AB7" s="1049">
        <f>+AA7+'[2]ANEXOS '!$G$50</f>
        <v>19443.772250000016</v>
      </c>
    </row>
    <row r="8" spans="1:28" x14ac:dyDescent="0.25">
      <c r="A8" s="1051" t="s">
        <v>241</v>
      </c>
      <c r="B8" s="1052"/>
      <c r="C8" s="1052"/>
      <c r="D8" s="1053">
        <f>+' A16 S. NORTE '!K27</f>
        <v>8263.14</v>
      </c>
      <c r="E8" s="1053">
        <f>+D8+' A16 S. NORTE '!G79</f>
        <v>9355.9474999999984</v>
      </c>
      <c r="F8" s="1053">
        <f>+E8+'[2]ANEXOS '!$G$49</f>
        <v>10448.754999999997</v>
      </c>
      <c r="G8" s="1053">
        <f>+F8+'[2]ANEXOS '!$G$49</f>
        <v>11541.562499999996</v>
      </c>
      <c r="H8" s="1053">
        <f>+G8+'[2]ANEXOS '!$G$49</f>
        <v>12634.369999999995</v>
      </c>
      <c r="I8" s="1053">
        <f>+H8+'[2]ANEXOS '!$G$49</f>
        <v>13727.177499999994</v>
      </c>
      <c r="J8" s="1053">
        <f>+I8+'[2]ANEXOS '!$G$49</f>
        <v>14819.984999999993</v>
      </c>
      <c r="K8" s="1053">
        <f>+J8+'[2]ANEXOS '!$G$49</f>
        <v>15912.792499999992</v>
      </c>
      <c r="L8" s="1053">
        <f>+K8+'[2]ANEXOS '!$G$49</f>
        <v>17005.599999999991</v>
      </c>
      <c r="M8" s="1053">
        <f>+L8+'[2]ANEXOS '!$G$49</f>
        <v>18098.40749999999</v>
      </c>
      <c r="N8" s="1053">
        <f>+M8+'[2]ANEXOS '!$G$49</f>
        <v>19191.214999999989</v>
      </c>
      <c r="O8" s="1053">
        <f>+N8+'[2]ANEXOS '!$G$49</f>
        <v>20284.022499999988</v>
      </c>
      <c r="P8" s="1053">
        <f>+O8+'[2]ANEXOS '!$G$49</f>
        <v>21376.829999999987</v>
      </c>
      <c r="Q8" s="1053">
        <f>+P8+'[2]ANEXOS '!$G$49</f>
        <v>22469.637499999986</v>
      </c>
      <c r="R8" s="1053">
        <f>+Q8+'[2]ANEXOS '!$G$49</f>
        <v>23562.444999999985</v>
      </c>
      <c r="S8" s="1053">
        <f>+R8+'[2]ANEXOS '!$G$49</f>
        <v>24655.252499999984</v>
      </c>
      <c r="T8" s="1053">
        <f>+S8+'[2]ANEXOS '!$G$49</f>
        <v>25748.059999999983</v>
      </c>
      <c r="U8" s="1053">
        <f>+T8+'[2]ANEXOS '!$G$49</f>
        <v>26840.867499999982</v>
      </c>
      <c r="V8" s="1053">
        <f>+U8+'[2]ANEXOS '!$G$49</f>
        <v>27933.674999999981</v>
      </c>
      <c r="W8" s="1053">
        <f>+V8+'[2]ANEXOS '!$G$49</f>
        <v>29026.48249999998</v>
      </c>
      <c r="X8" s="1053">
        <f>+W8+'[2]ANEXOS '!$G$49</f>
        <v>30119.289999999979</v>
      </c>
      <c r="Y8" s="1053">
        <f>+X8+'[2]ANEXOS '!$G$49</f>
        <v>31212.097499999978</v>
      </c>
      <c r="Z8" s="1053">
        <f>+Y8+'[2]ANEXOS '!$G$49</f>
        <v>32304.904999999977</v>
      </c>
      <c r="AA8" s="1053">
        <f>+Z8+'[2]ANEXOS '!$G$49</f>
        <v>33397.71249999998</v>
      </c>
      <c r="AB8" s="1053">
        <f>+AA8+'[2]ANEXOS '!$G$49</f>
        <v>34490.519999999982</v>
      </c>
    </row>
    <row r="9" spans="1:28" x14ac:dyDescent="0.25">
      <c r="A9" s="1055" t="s">
        <v>242</v>
      </c>
      <c r="B9" s="1056"/>
      <c r="C9" s="1056"/>
      <c r="D9" s="1057">
        <v>0</v>
      </c>
      <c r="E9" s="1057">
        <f t="shared" ref="E9:AB9" si="1">-E21+D9</f>
        <v>-654.91632499999992</v>
      </c>
      <c r="F9" s="1057">
        <f t="shared" si="1"/>
        <v>-1309.8326499999998</v>
      </c>
      <c r="G9" s="1057">
        <f t="shared" si="1"/>
        <v>-1964.7489749999997</v>
      </c>
      <c r="H9" s="1057">
        <f t="shared" si="1"/>
        <v>-2619.6652999999997</v>
      </c>
      <c r="I9" s="1057">
        <f t="shared" si="1"/>
        <v>-3274.5816249999998</v>
      </c>
      <c r="J9" s="1057">
        <f t="shared" si="1"/>
        <v>-3929.4979499999999</v>
      </c>
      <c r="K9" s="1057">
        <f t="shared" si="1"/>
        <v>-4584.4142750000001</v>
      </c>
      <c r="L9" s="1057">
        <f t="shared" si="1"/>
        <v>-5239.3306000000002</v>
      </c>
      <c r="M9" s="1057">
        <f t="shared" si="1"/>
        <v>-5894.2469250000004</v>
      </c>
      <c r="N9" s="1057">
        <f t="shared" si="1"/>
        <v>-6549.1632500000005</v>
      </c>
      <c r="O9" s="1057">
        <f t="shared" si="1"/>
        <v>-7204.0795750000007</v>
      </c>
      <c r="P9" s="1057">
        <f t="shared" si="1"/>
        <v>-7858.9959000000008</v>
      </c>
      <c r="Q9" s="1057">
        <f t="shared" si="1"/>
        <v>-8513.912225</v>
      </c>
      <c r="R9" s="1057">
        <f t="shared" si="1"/>
        <v>-9168.8285500000002</v>
      </c>
      <c r="S9" s="1057">
        <f t="shared" si="1"/>
        <v>-9823.7448750000003</v>
      </c>
      <c r="T9" s="1057">
        <f t="shared" si="1"/>
        <v>-10478.6612</v>
      </c>
      <c r="U9" s="1057">
        <f t="shared" si="1"/>
        <v>-11133.577525000001</v>
      </c>
      <c r="V9" s="1057">
        <f t="shared" si="1"/>
        <v>-11788.493850000001</v>
      </c>
      <c r="W9" s="1057">
        <f t="shared" si="1"/>
        <v>-12443.410175000001</v>
      </c>
      <c r="X9" s="1057">
        <f t="shared" si="1"/>
        <v>-13098.326500000001</v>
      </c>
      <c r="Y9" s="1057">
        <f t="shared" si="1"/>
        <v>-13753.242825000001</v>
      </c>
      <c r="Z9" s="1057">
        <f t="shared" si="1"/>
        <v>-14408.159150000001</v>
      </c>
      <c r="AA9" s="1057">
        <f t="shared" si="1"/>
        <v>-15063.075475000001</v>
      </c>
      <c r="AB9" s="1057">
        <f t="shared" si="1"/>
        <v>-15717.991800000002</v>
      </c>
    </row>
    <row r="10" spans="1:28" x14ac:dyDescent="0.25">
      <c r="A10" s="1058" t="s">
        <v>243</v>
      </c>
      <c r="B10" s="1059"/>
      <c r="C10" s="1059"/>
      <c r="D10" s="1060">
        <f t="shared" ref="D10:X10" si="2">D8+D9</f>
        <v>8263.14</v>
      </c>
      <c r="E10" s="1060">
        <f t="shared" si="2"/>
        <v>8701.0311749999983</v>
      </c>
      <c r="F10" s="1060">
        <f t="shared" si="2"/>
        <v>9138.9223499999971</v>
      </c>
      <c r="G10" s="1060">
        <f t="shared" si="2"/>
        <v>9576.8135249999959</v>
      </c>
      <c r="H10" s="1060">
        <f t="shared" si="2"/>
        <v>10014.704699999995</v>
      </c>
      <c r="I10" s="1060">
        <f t="shared" si="2"/>
        <v>10452.595874999995</v>
      </c>
      <c r="J10" s="1060">
        <f t="shared" si="2"/>
        <v>10890.487049999992</v>
      </c>
      <c r="K10" s="1060">
        <f t="shared" si="2"/>
        <v>11328.378224999993</v>
      </c>
      <c r="L10" s="1060">
        <f t="shared" si="2"/>
        <v>11766.26939999999</v>
      </c>
      <c r="M10" s="1060">
        <f t="shared" si="2"/>
        <v>12204.160574999991</v>
      </c>
      <c r="N10" s="1060">
        <f t="shared" si="2"/>
        <v>12642.051749999988</v>
      </c>
      <c r="O10" s="1060">
        <f t="shared" si="2"/>
        <v>13079.942924999988</v>
      </c>
      <c r="P10" s="1060">
        <f t="shared" si="2"/>
        <v>13517.834099999985</v>
      </c>
      <c r="Q10" s="1060">
        <f t="shared" si="2"/>
        <v>13955.725274999986</v>
      </c>
      <c r="R10" s="1060">
        <f t="shared" si="2"/>
        <v>14393.616449999985</v>
      </c>
      <c r="S10" s="1060">
        <f t="shared" si="2"/>
        <v>14831.507624999984</v>
      </c>
      <c r="T10" s="1060">
        <f t="shared" si="2"/>
        <v>15269.398799999983</v>
      </c>
      <c r="U10" s="1060">
        <f t="shared" si="2"/>
        <v>15707.289974999981</v>
      </c>
      <c r="V10" s="1060">
        <f t="shared" si="2"/>
        <v>16145.18114999998</v>
      </c>
      <c r="W10" s="1060">
        <f t="shared" si="2"/>
        <v>16583.072324999979</v>
      </c>
      <c r="X10" s="1060">
        <f t="shared" si="2"/>
        <v>17020.963499999976</v>
      </c>
      <c r="Y10" s="1060">
        <f>Y8+Y9</f>
        <v>17458.854674999977</v>
      </c>
      <c r="Z10" s="1060">
        <f>Z8+Z9</f>
        <v>17896.745849999978</v>
      </c>
      <c r="AA10" s="1060">
        <f>AA8+AA9</f>
        <v>18334.637024999978</v>
      </c>
      <c r="AB10" s="1060">
        <f>AB8+AB9</f>
        <v>18772.528199999979</v>
      </c>
    </row>
    <row r="11" spans="1:28" x14ac:dyDescent="0.25">
      <c r="A11" s="1062" t="s">
        <v>244</v>
      </c>
      <c r="B11" s="1063"/>
      <c r="C11" s="1063"/>
      <c r="D11" s="1064">
        <f>+D7+D10+D6</f>
        <v>23582.981749999999</v>
      </c>
      <c r="E11" s="1064">
        <f t="shared" ref="E11:AB11" si="3">+E7+E10+E6</f>
        <v>24192.703362499997</v>
      </c>
      <c r="F11" s="1064">
        <f t="shared" si="3"/>
        <v>24802.424974999998</v>
      </c>
      <c r="G11" s="1064">
        <f t="shared" si="3"/>
        <v>25412.146587499999</v>
      </c>
      <c r="H11" s="1064">
        <f t="shared" si="3"/>
        <v>26021.868199999997</v>
      </c>
      <c r="I11" s="1064">
        <f t="shared" si="3"/>
        <v>26631.589812499999</v>
      </c>
      <c r="J11" s="1064">
        <f t="shared" si="3"/>
        <v>27241.311424999996</v>
      </c>
      <c r="K11" s="1064">
        <f t="shared" si="3"/>
        <v>27851.033037499998</v>
      </c>
      <c r="L11" s="1064">
        <f t="shared" si="3"/>
        <v>28460.754649999995</v>
      </c>
      <c r="M11" s="1064">
        <f t="shared" si="3"/>
        <v>29070.476262499997</v>
      </c>
      <c r="N11" s="1064">
        <f t="shared" si="3"/>
        <v>29680.197874999994</v>
      </c>
      <c r="O11" s="1064">
        <f t="shared" si="3"/>
        <v>30289.919487499996</v>
      </c>
      <c r="P11" s="1064">
        <f t="shared" si="3"/>
        <v>30899.641099999993</v>
      </c>
      <c r="Q11" s="1064">
        <f t="shared" si="3"/>
        <v>31509.362712499995</v>
      </c>
      <c r="R11" s="1064">
        <f t="shared" si="3"/>
        <v>32119.084324999996</v>
      </c>
      <c r="S11" s="1064">
        <f t="shared" si="3"/>
        <v>32728.805937499994</v>
      </c>
      <c r="T11" s="1064">
        <f t="shared" si="3"/>
        <v>33338.527549999992</v>
      </c>
      <c r="U11" s="1064">
        <f t="shared" si="3"/>
        <v>33948.249162499997</v>
      </c>
      <c r="V11" s="1064">
        <f t="shared" si="3"/>
        <v>34557.970774999994</v>
      </c>
      <c r="W11" s="1064">
        <f t="shared" si="3"/>
        <v>35167.692387499992</v>
      </c>
      <c r="X11" s="1064">
        <f t="shared" si="3"/>
        <v>35777.41399999999</v>
      </c>
      <c r="Y11" s="1064">
        <f t="shared" si="3"/>
        <v>36387.135612499987</v>
      </c>
      <c r="Z11" s="1064">
        <f t="shared" si="3"/>
        <v>36996.857224999992</v>
      </c>
      <c r="AA11" s="1064">
        <f t="shared" si="3"/>
        <v>37606.578837499997</v>
      </c>
      <c r="AB11" s="1064">
        <f t="shared" si="3"/>
        <v>38216.300449999995</v>
      </c>
    </row>
    <row r="12" spans="1:28" x14ac:dyDescent="0.25">
      <c r="A12" s="1066"/>
      <c r="B12" s="1067"/>
      <c r="C12" s="1067"/>
      <c r="D12" s="1068"/>
      <c r="E12" s="1068"/>
      <c r="F12" s="1068"/>
      <c r="G12" s="1068"/>
      <c r="H12" s="1068"/>
      <c r="I12" s="768"/>
      <c r="J12" s="768"/>
      <c r="K12" s="768"/>
      <c r="L12" s="768"/>
      <c r="M12" s="768"/>
      <c r="N12" s="768"/>
      <c r="O12" s="1068"/>
      <c r="P12" s="1068"/>
      <c r="Q12" s="1068"/>
      <c r="R12" s="1068"/>
      <c r="S12" s="768"/>
      <c r="T12" s="768"/>
      <c r="U12" s="768"/>
      <c r="V12" s="768"/>
      <c r="W12" s="768"/>
      <c r="X12" s="768"/>
      <c r="Y12" s="768"/>
      <c r="Z12" s="768"/>
      <c r="AA12" s="768"/>
      <c r="AB12" s="768"/>
    </row>
    <row r="13" spans="1:28" x14ac:dyDescent="0.25">
      <c r="A13" s="1069"/>
      <c r="B13" s="1070"/>
      <c r="C13" s="1070"/>
      <c r="D13" s="1071"/>
      <c r="E13" s="1071"/>
      <c r="F13" s="1071"/>
      <c r="G13" s="1071"/>
      <c r="H13" s="1071"/>
      <c r="I13" s="1072"/>
      <c r="J13" s="1391"/>
      <c r="K13" s="1391"/>
      <c r="L13" s="1391"/>
      <c r="M13" s="1391"/>
      <c r="N13" s="1391"/>
      <c r="O13" s="1071"/>
      <c r="P13" s="1071"/>
      <c r="Q13" s="1071"/>
      <c r="R13" s="1071"/>
      <c r="S13" s="1072"/>
      <c r="T13" s="1391"/>
      <c r="U13" s="1391"/>
      <c r="V13" s="1391"/>
      <c r="W13" s="1391"/>
      <c r="X13" s="1391"/>
      <c r="Y13" s="1391"/>
      <c r="Z13" s="1391"/>
      <c r="AA13" s="1391"/>
      <c r="AB13" s="1391"/>
    </row>
    <row r="14" spans="1:28" x14ac:dyDescent="0.25">
      <c r="A14" s="1074" t="s">
        <v>245</v>
      </c>
      <c r="B14" s="1075"/>
      <c r="C14" s="1075"/>
      <c r="D14" s="1076">
        <f>+' A16 S. NORTE '!M27</f>
        <v>10764.481</v>
      </c>
      <c r="E14" s="1076">
        <f>+D14+' A16 S. NORTE '!G81</f>
        <v>11140.85125</v>
      </c>
      <c r="F14" s="1076">
        <f>+E14+'[2]ANEXOS '!$G$51</f>
        <v>11517.2215</v>
      </c>
      <c r="G14" s="1076">
        <f>+F14+'[2]ANEXOS '!$G$51</f>
        <v>11893.59175</v>
      </c>
      <c r="H14" s="1076">
        <f>+G14+'[2]ANEXOS '!$G$51</f>
        <v>12269.962</v>
      </c>
      <c r="I14" s="1076">
        <f>+H14+'[2]ANEXOS '!$G$51</f>
        <v>12646.332249999999</v>
      </c>
      <c r="J14" s="1076">
        <f>+I14+'[2]ANEXOS '!$G$51</f>
        <v>13022.702499999999</v>
      </c>
      <c r="K14" s="1076">
        <f>+J14+'[2]ANEXOS '!$G$51</f>
        <v>13399.072749999999</v>
      </c>
      <c r="L14" s="1076">
        <f>+K14+'[2]ANEXOS '!$G$51</f>
        <v>13775.442999999999</v>
      </c>
      <c r="M14" s="1076">
        <f>+L14+'[2]ANEXOS '!$G$51</f>
        <v>14151.813249999999</v>
      </c>
      <c r="N14" s="1076">
        <f>+M14+'[2]ANEXOS '!$G$51</f>
        <v>14528.183499999999</v>
      </c>
      <c r="O14" s="1076">
        <f>+N14+'[2]ANEXOS '!$G$51</f>
        <v>14904.553749999999</v>
      </c>
      <c r="P14" s="1076">
        <f>+O14+'[2]ANEXOS '!$G$51</f>
        <v>15280.923999999999</v>
      </c>
      <c r="Q14" s="1076">
        <f>+P14+'[2]ANEXOS '!$G$51</f>
        <v>15657.294249999999</v>
      </c>
      <c r="R14" s="1076">
        <f>+Q14+'[2]ANEXOS '!$G$51</f>
        <v>16033.664499999999</v>
      </c>
      <c r="S14" s="1076">
        <f>+R14+'[2]ANEXOS '!$G$51</f>
        <v>16410.034749999999</v>
      </c>
      <c r="T14" s="1076">
        <f>+S14+'[2]ANEXOS '!$G$51</f>
        <v>16786.404999999999</v>
      </c>
      <c r="U14" s="1076">
        <f>+T14+'[2]ANEXOS '!$G$51</f>
        <v>17162.775249999999</v>
      </c>
      <c r="V14" s="1076">
        <f>+U14+'[2]ANEXOS '!$G$51</f>
        <v>17539.145499999999</v>
      </c>
      <c r="W14" s="1076">
        <f>+V14+'[2]ANEXOS '!$G$51</f>
        <v>17915.515749999999</v>
      </c>
      <c r="X14" s="1076">
        <f>+W14+'[2]ANEXOS '!$G$51</f>
        <v>18291.885999999999</v>
      </c>
      <c r="Y14" s="1076">
        <f>+X14+'[2]ANEXOS '!$G$51</f>
        <v>18668.256249999999</v>
      </c>
      <c r="Z14" s="1076">
        <f>+Y14+'[2]ANEXOS '!$G$51</f>
        <v>19044.626499999998</v>
      </c>
      <c r="AA14" s="1076">
        <f>+Z14+'[2]ANEXOS '!$G$51</f>
        <v>19420.996749999998</v>
      </c>
      <c r="AB14" s="1076">
        <f>+AA14+'[2]ANEXOS '!$G$51</f>
        <v>19797.366999999998</v>
      </c>
    </row>
    <row r="15" spans="1:28" x14ac:dyDescent="0.25">
      <c r="A15" s="1074" t="s">
        <v>246</v>
      </c>
      <c r="B15" s="1075"/>
      <c r="C15" s="1075"/>
      <c r="D15" s="1057">
        <f>+' A16 S. NORTE '!L27-' A16 S. NORTE '!I27</f>
        <v>12818.498500000002</v>
      </c>
      <c r="E15" s="1057">
        <f t="shared" ref="E15:AB15" si="4">+E11-E14</f>
        <v>13051.852112499997</v>
      </c>
      <c r="F15" s="1057">
        <f t="shared" si="4"/>
        <v>13285.203474999998</v>
      </c>
      <c r="G15" s="1057">
        <f t="shared" si="4"/>
        <v>13518.5548375</v>
      </c>
      <c r="H15" s="1057">
        <f t="shared" si="4"/>
        <v>13751.906199999998</v>
      </c>
      <c r="I15" s="1057">
        <f t="shared" si="4"/>
        <v>13985.257562499999</v>
      </c>
      <c r="J15" s="1057">
        <f t="shared" si="4"/>
        <v>14218.608924999997</v>
      </c>
      <c r="K15" s="1057">
        <f t="shared" si="4"/>
        <v>14451.960287499998</v>
      </c>
      <c r="L15" s="1057">
        <f t="shared" si="4"/>
        <v>14685.311649999996</v>
      </c>
      <c r="M15" s="1057">
        <f t="shared" si="4"/>
        <v>14918.663012499997</v>
      </c>
      <c r="N15" s="1057">
        <f t="shared" si="4"/>
        <v>15152.014374999995</v>
      </c>
      <c r="O15" s="1057">
        <f t="shared" si="4"/>
        <v>15385.365737499997</v>
      </c>
      <c r="P15" s="1057">
        <f t="shared" si="4"/>
        <v>15618.717099999994</v>
      </c>
      <c r="Q15" s="1057">
        <f t="shared" si="4"/>
        <v>15852.068462499996</v>
      </c>
      <c r="R15" s="1057">
        <f t="shared" si="4"/>
        <v>16085.419824999997</v>
      </c>
      <c r="S15" s="1057">
        <f t="shared" si="4"/>
        <v>16318.771187499995</v>
      </c>
      <c r="T15" s="1057">
        <f t="shared" si="4"/>
        <v>16552.122549999993</v>
      </c>
      <c r="U15" s="1057">
        <f t="shared" si="4"/>
        <v>16785.473912499998</v>
      </c>
      <c r="V15" s="1057">
        <f t="shared" si="4"/>
        <v>17018.825274999996</v>
      </c>
      <c r="W15" s="1057">
        <f t="shared" si="4"/>
        <v>17252.176637499993</v>
      </c>
      <c r="X15" s="1057">
        <f t="shared" si="4"/>
        <v>17485.527999999991</v>
      </c>
      <c r="Y15" s="1057">
        <f t="shared" si="4"/>
        <v>17718.879362499989</v>
      </c>
      <c r="Z15" s="1057">
        <f t="shared" si="4"/>
        <v>17952.230724999994</v>
      </c>
      <c r="AA15" s="1057">
        <f t="shared" si="4"/>
        <v>18185.582087499999</v>
      </c>
      <c r="AB15" s="1057">
        <f t="shared" si="4"/>
        <v>18418.933449999997</v>
      </c>
    </row>
    <row r="16" spans="1:28" ht="16.5" thickBot="1" x14ac:dyDescent="0.3">
      <c r="A16" s="1078" t="s">
        <v>247</v>
      </c>
      <c r="B16" s="1079"/>
      <c r="C16" s="1079"/>
      <c r="D16" s="1080">
        <f t="shared" ref="D16:AB16" si="5">D13+D14+D15</f>
        <v>23582.979500000001</v>
      </c>
      <c r="E16" s="1080">
        <f t="shared" si="5"/>
        <v>24192.703362499997</v>
      </c>
      <c r="F16" s="1080">
        <f t="shared" si="5"/>
        <v>24802.424974999998</v>
      </c>
      <c r="G16" s="1080">
        <f t="shared" si="5"/>
        <v>25412.146587499999</v>
      </c>
      <c r="H16" s="1080">
        <f t="shared" si="5"/>
        <v>26021.868199999997</v>
      </c>
      <c r="I16" s="1080">
        <f t="shared" si="5"/>
        <v>26631.589812499999</v>
      </c>
      <c r="J16" s="1080">
        <f t="shared" si="5"/>
        <v>27241.311424999996</v>
      </c>
      <c r="K16" s="1080">
        <f t="shared" si="5"/>
        <v>27851.033037499998</v>
      </c>
      <c r="L16" s="1080">
        <f t="shared" si="5"/>
        <v>28460.754649999995</v>
      </c>
      <c r="M16" s="1080">
        <f t="shared" si="5"/>
        <v>29070.476262499997</v>
      </c>
      <c r="N16" s="1080">
        <f t="shared" si="5"/>
        <v>29680.197874999994</v>
      </c>
      <c r="O16" s="1080">
        <f t="shared" si="5"/>
        <v>30289.919487499996</v>
      </c>
      <c r="P16" s="1080">
        <f t="shared" si="5"/>
        <v>30899.641099999993</v>
      </c>
      <c r="Q16" s="1080">
        <f t="shared" si="5"/>
        <v>31509.362712499995</v>
      </c>
      <c r="R16" s="1080">
        <f t="shared" si="5"/>
        <v>32119.084324999996</v>
      </c>
      <c r="S16" s="1080">
        <f t="shared" si="5"/>
        <v>32728.805937499994</v>
      </c>
      <c r="T16" s="1080">
        <f t="shared" si="5"/>
        <v>33338.527549999992</v>
      </c>
      <c r="U16" s="1080">
        <f t="shared" si="5"/>
        <v>33948.249162499997</v>
      </c>
      <c r="V16" s="1080">
        <f t="shared" si="5"/>
        <v>34557.970774999994</v>
      </c>
      <c r="W16" s="1080">
        <f t="shared" si="5"/>
        <v>35167.692387499992</v>
      </c>
      <c r="X16" s="1080">
        <f t="shared" si="5"/>
        <v>35777.41399999999</v>
      </c>
      <c r="Y16" s="1080">
        <f t="shared" si="5"/>
        <v>36387.135612499987</v>
      </c>
      <c r="Z16" s="1080">
        <f t="shared" si="5"/>
        <v>36996.857224999992</v>
      </c>
      <c r="AA16" s="1080">
        <f t="shared" si="5"/>
        <v>37606.578837499997</v>
      </c>
      <c r="AB16" s="1080">
        <f t="shared" si="5"/>
        <v>38216.300449999995</v>
      </c>
    </row>
    <row r="17" spans="1:28" x14ac:dyDescent="0.25">
      <c r="A17" s="1067"/>
      <c r="B17" s="1041"/>
      <c r="C17" s="1041"/>
      <c r="D17" s="1068"/>
      <c r="E17" s="1083"/>
      <c r="F17" s="1083"/>
      <c r="G17" s="1083"/>
      <c r="H17" s="1083"/>
      <c r="I17" s="671"/>
      <c r="J17" s="671"/>
      <c r="K17" s="671"/>
      <c r="L17" s="671"/>
      <c r="M17" s="671"/>
      <c r="N17" s="671"/>
      <c r="O17" s="1083"/>
      <c r="P17" s="1083"/>
      <c r="Q17" s="1083"/>
      <c r="R17" s="1083"/>
    </row>
    <row r="18" spans="1:28" ht="16.5" thickBot="1" x14ac:dyDescent="0.3">
      <c r="A18" s="1067"/>
      <c r="B18" s="1067"/>
      <c r="C18" s="1392"/>
      <c r="D18" s="1068"/>
      <c r="E18" s="1083"/>
      <c r="F18" s="1083"/>
      <c r="G18" s="1083"/>
      <c r="H18" s="1083"/>
      <c r="I18" s="671"/>
      <c r="J18" s="671"/>
      <c r="K18" s="671"/>
      <c r="L18" s="671"/>
      <c r="M18" s="671"/>
      <c r="N18" s="671"/>
      <c r="O18" s="1083"/>
      <c r="P18" s="1083"/>
      <c r="Q18" s="1083"/>
      <c r="R18" s="1083"/>
    </row>
    <row r="19" spans="1:28" x14ac:dyDescent="0.25">
      <c r="A19" s="1084" t="s">
        <v>248</v>
      </c>
      <c r="B19" s="1085"/>
      <c r="C19" s="296"/>
      <c r="D19" s="1088">
        <v>0</v>
      </c>
      <c r="E19" s="1088">
        <v>1</v>
      </c>
      <c r="F19" s="1088">
        <v>2</v>
      </c>
      <c r="G19" s="1088">
        <v>3</v>
      </c>
      <c r="H19" s="1088">
        <v>4</v>
      </c>
      <c r="I19" s="1088">
        <v>5</v>
      </c>
      <c r="J19" s="1088">
        <v>6</v>
      </c>
      <c r="K19" s="1088">
        <v>7</v>
      </c>
      <c r="L19" s="1088">
        <v>8</v>
      </c>
      <c r="M19" s="1088">
        <v>9</v>
      </c>
      <c r="N19" s="1088">
        <v>10</v>
      </c>
      <c r="O19" s="1088">
        <v>11</v>
      </c>
      <c r="P19" s="1088">
        <v>12</v>
      </c>
      <c r="Q19" s="1088">
        <v>13</v>
      </c>
      <c r="R19" s="1088">
        <v>14</v>
      </c>
      <c r="S19" s="1088">
        <v>15</v>
      </c>
      <c r="T19" s="1088">
        <v>16</v>
      </c>
      <c r="U19" s="1088">
        <v>17</v>
      </c>
      <c r="V19" s="1088">
        <v>18</v>
      </c>
      <c r="W19" s="1088">
        <v>19</v>
      </c>
      <c r="X19" s="1088">
        <v>20</v>
      </c>
      <c r="Y19" s="1088">
        <v>21</v>
      </c>
      <c r="Z19" s="1088">
        <v>22</v>
      </c>
      <c r="AA19" s="1088">
        <v>23</v>
      </c>
      <c r="AB19" s="1088">
        <v>24</v>
      </c>
    </row>
    <row r="20" spans="1:28" x14ac:dyDescent="0.25">
      <c r="A20" s="860" t="s">
        <v>249</v>
      </c>
      <c r="B20" s="808"/>
      <c r="C20" s="808"/>
      <c r="D20" s="1090"/>
      <c r="E20" s="1057">
        <f>+' A16 S. NORTE '!G66+' A16 S. NORTE '!G65</f>
        <v>3443.8197500000001</v>
      </c>
      <c r="F20" s="1057">
        <f>+E20*(1+F29)</f>
        <v>3478.2579475000002</v>
      </c>
      <c r="G20" s="1057">
        <f t="shared" ref="G20:AB20" si="6">+F20*(1+G29)</f>
        <v>3513.0405269750004</v>
      </c>
      <c r="H20" s="1057">
        <f t="shared" si="6"/>
        <v>3548.1709322447505</v>
      </c>
      <c r="I20" s="1057">
        <f t="shared" si="6"/>
        <v>3583.6526415671979</v>
      </c>
      <c r="J20" s="1057">
        <f t="shared" si="6"/>
        <v>3619.4891679828697</v>
      </c>
      <c r="K20" s="1057">
        <f t="shared" si="6"/>
        <v>3655.6840596626985</v>
      </c>
      <c r="L20" s="1057">
        <f t="shared" si="6"/>
        <v>3692.2409002593254</v>
      </c>
      <c r="M20" s="1057">
        <f t="shared" si="6"/>
        <v>3729.1633092619186</v>
      </c>
      <c r="N20" s="1057">
        <f t="shared" si="6"/>
        <v>3766.4549423545377</v>
      </c>
      <c r="O20" s="1057">
        <f t="shared" si="6"/>
        <v>3804.1194917780831</v>
      </c>
      <c r="P20" s="1057">
        <f t="shared" si="6"/>
        <v>3842.1606866958641</v>
      </c>
      <c r="Q20" s="1057">
        <f t="shared" si="6"/>
        <v>3880.582293562823</v>
      </c>
      <c r="R20" s="1057">
        <f t="shared" si="6"/>
        <v>3919.3881164984514</v>
      </c>
      <c r="S20" s="1057">
        <f t="shared" si="6"/>
        <v>3958.5819976634361</v>
      </c>
      <c r="T20" s="1057">
        <f t="shared" si="6"/>
        <v>3998.1678176400706</v>
      </c>
      <c r="U20" s="1057">
        <f t="shared" si="6"/>
        <v>4038.1494958164712</v>
      </c>
      <c r="V20" s="1057">
        <f t="shared" si="6"/>
        <v>4078.5309907746359</v>
      </c>
      <c r="W20" s="1057">
        <f t="shared" si="6"/>
        <v>4119.3163006823825</v>
      </c>
      <c r="X20" s="1057">
        <f t="shared" si="6"/>
        <v>4160.5094636892063</v>
      </c>
      <c r="Y20" s="1057">
        <f t="shared" si="6"/>
        <v>4202.1145583260986</v>
      </c>
      <c r="Z20" s="1057">
        <f t="shared" si="6"/>
        <v>4244.13570390936</v>
      </c>
      <c r="AA20" s="1057">
        <f t="shared" si="6"/>
        <v>4286.5770609484534</v>
      </c>
      <c r="AB20" s="1057">
        <f t="shared" si="6"/>
        <v>4329.442831557938</v>
      </c>
    </row>
    <row r="21" spans="1:28" x14ac:dyDescent="0.25">
      <c r="A21" s="1074" t="s">
        <v>250</v>
      </c>
      <c r="B21" s="1093"/>
      <c r="C21" s="1093"/>
      <c r="D21" s="1094"/>
      <c r="E21" s="1076">
        <f>+E8*0.07</f>
        <v>654.91632499999992</v>
      </c>
      <c r="F21" s="1076">
        <f>+E21</f>
        <v>654.91632499999992</v>
      </c>
      <c r="G21" s="1076">
        <f t="shared" ref="G21:AB21" si="7">+F21</f>
        <v>654.91632499999992</v>
      </c>
      <c r="H21" s="1076">
        <f t="shared" si="7"/>
        <v>654.91632499999992</v>
      </c>
      <c r="I21" s="1076">
        <f t="shared" si="7"/>
        <v>654.91632499999992</v>
      </c>
      <c r="J21" s="1076">
        <f t="shared" si="7"/>
        <v>654.91632499999992</v>
      </c>
      <c r="K21" s="1076">
        <f t="shared" si="7"/>
        <v>654.91632499999992</v>
      </c>
      <c r="L21" s="1076">
        <f t="shared" si="7"/>
        <v>654.91632499999992</v>
      </c>
      <c r="M21" s="1076">
        <f t="shared" si="7"/>
        <v>654.91632499999992</v>
      </c>
      <c r="N21" s="1076">
        <f t="shared" si="7"/>
        <v>654.91632499999992</v>
      </c>
      <c r="O21" s="1076">
        <f t="shared" si="7"/>
        <v>654.91632499999992</v>
      </c>
      <c r="P21" s="1076">
        <f t="shared" si="7"/>
        <v>654.91632499999992</v>
      </c>
      <c r="Q21" s="1076">
        <f t="shared" si="7"/>
        <v>654.91632499999992</v>
      </c>
      <c r="R21" s="1076">
        <f t="shared" si="7"/>
        <v>654.91632499999992</v>
      </c>
      <c r="S21" s="1076">
        <f t="shared" si="7"/>
        <v>654.91632499999992</v>
      </c>
      <c r="T21" s="1076">
        <f t="shared" si="7"/>
        <v>654.91632499999992</v>
      </c>
      <c r="U21" s="1076">
        <f t="shared" si="7"/>
        <v>654.91632499999992</v>
      </c>
      <c r="V21" s="1076">
        <f t="shared" si="7"/>
        <v>654.91632499999992</v>
      </c>
      <c r="W21" s="1076">
        <f t="shared" si="7"/>
        <v>654.91632499999992</v>
      </c>
      <c r="X21" s="1076">
        <f t="shared" si="7"/>
        <v>654.91632499999992</v>
      </c>
      <c r="Y21" s="1076">
        <f t="shared" si="7"/>
        <v>654.91632499999992</v>
      </c>
      <c r="Z21" s="1076">
        <f t="shared" si="7"/>
        <v>654.91632499999992</v>
      </c>
      <c r="AA21" s="1076">
        <f t="shared" si="7"/>
        <v>654.91632499999992</v>
      </c>
      <c r="AB21" s="1076">
        <f t="shared" si="7"/>
        <v>654.91632499999992</v>
      </c>
    </row>
    <row r="22" spans="1:28" x14ac:dyDescent="0.25">
      <c r="A22" s="1095" t="s">
        <v>251</v>
      </c>
      <c r="B22" s="1096"/>
      <c r="C22" s="1096"/>
      <c r="D22" s="1097"/>
      <c r="E22" s="1098">
        <f t="shared" ref="E22:X22" si="8">+E20-E21</f>
        <v>2788.9034250000004</v>
      </c>
      <c r="F22" s="1098">
        <f t="shared" si="8"/>
        <v>2823.3416225000001</v>
      </c>
      <c r="G22" s="1098">
        <f t="shared" si="8"/>
        <v>2858.1242019750007</v>
      </c>
      <c r="H22" s="1098">
        <f t="shared" si="8"/>
        <v>2893.2546072447503</v>
      </c>
      <c r="I22" s="1098">
        <f t="shared" si="8"/>
        <v>2928.7363165671977</v>
      </c>
      <c r="J22" s="1098">
        <f t="shared" si="8"/>
        <v>2964.5728429828696</v>
      </c>
      <c r="K22" s="1098">
        <f t="shared" si="8"/>
        <v>3000.7677346626988</v>
      </c>
      <c r="L22" s="1098">
        <f t="shared" si="8"/>
        <v>3037.3245752593257</v>
      </c>
      <c r="M22" s="1098">
        <f t="shared" si="8"/>
        <v>3074.2469842619184</v>
      </c>
      <c r="N22" s="1098">
        <f t="shared" si="8"/>
        <v>3111.5386173545376</v>
      </c>
      <c r="O22" s="1098">
        <f t="shared" si="8"/>
        <v>3149.203166778083</v>
      </c>
      <c r="P22" s="1098">
        <f t="shared" si="8"/>
        <v>3187.2443616958644</v>
      </c>
      <c r="Q22" s="1098">
        <f t="shared" si="8"/>
        <v>3225.6659685628229</v>
      </c>
      <c r="R22" s="1098">
        <f t="shared" si="8"/>
        <v>3264.4717914984512</v>
      </c>
      <c r="S22" s="1098">
        <f t="shared" si="8"/>
        <v>3303.6656726634365</v>
      </c>
      <c r="T22" s="1098">
        <f t="shared" si="8"/>
        <v>3343.2514926400709</v>
      </c>
      <c r="U22" s="1098">
        <f t="shared" si="8"/>
        <v>3383.2331708164711</v>
      </c>
      <c r="V22" s="1098">
        <f t="shared" si="8"/>
        <v>3423.6146657746358</v>
      </c>
      <c r="W22" s="1098">
        <f t="shared" si="8"/>
        <v>3464.3999756823823</v>
      </c>
      <c r="X22" s="1098">
        <f t="shared" si="8"/>
        <v>3505.5931386892062</v>
      </c>
      <c r="Y22" s="1098">
        <f>+Y20-Y21</f>
        <v>3547.1982333260985</v>
      </c>
      <c r="Z22" s="1098">
        <f>+Z20-Z21</f>
        <v>3589.2193789093599</v>
      </c>
      <c r="AA22" s="1098">
        <f>+AA20-AA21</f>
        <v>3631.6607359484533</v>
      </c>
      <c r="AB22" s="1098">
        <f>+AB20-AB21</f>
        <v>3674.5265065579379</v>
      </c>
    </row>
    <row r="23" spans="1:28" x14ac:dyDescent="0.25">
      <c r="A23" s="860" t="s">
        <v>252</v>
      </c>
      <c r="B23" s="808"/>
      <c r="C23" s="808"/>
      <c r="D23" s="1100"/>
      <c r="E23" s="1076">
        <f t="shared" ref="E23:AB23" si="9">+(D14+E14)/2*E31</f>
        <v>766.68662875000007</v>
      </c>
      <c r="F23" s="1076">
        <f t="shared" si="9"/>
        <v>793.03254625000011</v>
      </c>
      <c r="G23" s="1076">
        <f t="shared" si="9"/>
        <v>819.37846375000004</v>
      </c>
      <c r="H23" s="1076">
        <f t="shared" si="9"/>
        <v>845.72438125000008</v>
      </c>
      <c r="I23" s="1076">
        <f t="shared" si="9"/>
        <v>872.07029875000001</v>
      </c>
      <c r="J23" s="1076">
        <f t="shared" si="9"/>
        <v>898.41621625000005</v>
      </c>
      <c r="K23" s="1076">
        <f t="shared" si="9"/>
        <v>924.76213375000009</v>
      </c>
      <c r="L23" s="1076">
        <f t="shared" si="9"/>
        <v>951.10805125000002</v>
      </c>
      <c r="M23" s="1076">
        <f t="shared" si="9"/>
        <v>977.45396875000006</v>
      </c>
      <c r="N23" s="1076">
        <f t="shared" si="9"/>
        <v>1003.79988625</v>
      </c>
      <c r="O23" s="1076">
        <f t="shared" si="9"/>
        <v>1030.1458037500001</v>
      </c>
      <c r="P23" s="1076">
        <f t="shared" si="9"/>
        <v>1056.49172125</v>
      </c>
      <c r="Q23" s="1076">
        <f t="shared" si="9"/>
        <v>1082.83763875</v>
      </c>
      <c r="R23" s="1076">
        <f t="shared" si="9"/>
        <v>1109.18355625</v>
      </c>
      <c r="S23" s="1076">
        <f t="shared" si="9"/>
        <v>1135.5294737500001</v>
      </c>
      <c r="T23" s="1076">
        <f t="shared" si="9"/>
        <v>1161.8753912500001</v>
      </c>
      <c r="U23" s="1076">
        <f t="shared" si="9"/>
        <v>1188.2213087499999</v>
      </c>
      <c r="V23" s="1076">
        <f t="shared" si="9"/>
        <v>1214.56722625</v>
      </c>
      <c r="W23" s="1076">
        <f t="shared" si="9"/>
        <v>1240.91314375</v>
      </c>
      <c r="X23" s="1076">
        <f t="shared" si="9"/>
        <v>1267.2590612500001</v>
      </c>
      <c r="Y23" s="1076">
        <f t="shared" si="9"/>
        <v>1293.6049787500001</v>
      </c>
      <c r="Z23" s="1076">
        <f t="shared" si="9"/>
        <v>1319.9508962499999</v>
      </c>
      <c r="AA23" s="1076">
        <f t="shared" si="9"/>
        <v>1346.29681375</v>
      </c>
      <c r="AB23" s="1076">
        <f t="shared" si="9"/>
        <v>1372.64273125</v>
      </c>
    </row>
    <row r="24" spans="1:28" x14ac:dyDescent="0.25">
      <c r="A24" s="1104" t="s">
        <v>253</v>
      </c>
      <c r="B24" s="1105" t="s">
        <v>1267</v>
      </c>
      <c r="C24" s="1105"/>
      <c r="D24" s="1106"/>
      <c r="E24" s="1107">
        <f t="shared" ref="E24:X24" si="10">+E22-E23</f>
        <v>2022.2167962500002</v>
      </c>
      <c r="F24" s="1107">
        <f t="shared" si="10"/>
        <v>2030.3090762500001</v>
      </c>
      <c r="G24" s="1107">
        <f t="shared" si="10"/>
        <v>2038.7457382250007</v>
      </c>
      <c r="H24" s="1107">
        <f t="shared" si="10"/>
        <v>2047.5302259947503</v>
      </c>
      <c r="I24" s="1107">
        <f t="shared" si="10"/>
        <v>2056.6660178171978</v>
      </c>
      <c r="J24" s="1107">
        <f t="shared" si="10"/>
        <v>2066.1566267328694</v>
      </c>
      <c r="K24" s="1107">
        <f t="shared" si="10"/>
        <v>2076.0056009126988</v>
      </c>
      <c r="L24" s="1107">
        <f t="shared" si="10"/>
        <v>2086.2165240093254</v>
      </c>
      <c r="M24" s="1107">
        <f t="shared" si="10"/>
        <v>2096.7930155119184</v>
      </c>
      <c r="N24" s="1107">
        <f t="shared" si="10"/>
        <v>2107.7387311045377</v>
      </c>
      <c r="O24" s="1107">
        <f t="shared" si="10"/>
        <v>2119.0573630280828</v>
      </c>
      <c r="P24" s="1107">
        <f t="shared" si="10"/>
        <v>2130.7526404458645</v>
      </c>
      <c r="Q24" s="1107">
        <f t="shared" si="10"/>
        <v>2142.8283298128226</v>
      </c>
      <c r="R24" s="1107">
        <f t="shared" si="10"/>
        <v>2155.2882352484512</v>
      </c>
      <c r="S24" s="1107">
        <f t="shared" si="10"/>
        <v>2168.1361989134366</v>
      </c>
      <c r="T24" s="1107">
        <f t="shared" si="10"/>
        <v>2181.3761013900707</v>
      </c>
      <c r="U24" s="1107">
        <f t="shared" si="10"/>
        <v>2195.0118620664712</v>
      </c>
      <c r="V24" s="1107">
        <f t="shared" si="10"/>
        <v>2209.0474395246356</v>
      </c>
      <c r="W24" s="1107">
        <f t="shared" si="10"/>
        <v>2223.4868319323823</v>
      </c>
      <c r="X24" s="1107">
        <f t="shared" si="10"/>
        <v>2238.3340774392063</v>
      </c>
      <c r="Y24" s="1107">
        <f>+Y22-Y23</f>
        <v>2253.5932545760984</v>
      </c>
      <c r="Z24" s="1107">
        <f>+Z22-Z23</f>
        <v>2269.26848265936</v>
      </c>
      <c r="AA24" s="1107">
        <f>+AA22-AA23</f>
        <v>2285.3639221984531</v>
      </c>
      <c r="AB24" s="1107">
        <f>+AB22-AB23</f>
        <v>2301.8837753079379</v>
      </c>
    </row>
    <row r="25" spans="1:28" x14ac:dyDescent="0.25">
      <c r="A25" s="860" t="s">
        <v>254</v>
      </c>
      <c r="B25" s="808"/>
      <c r="C25" s="808"/>
      <c r="D25" s="1100"/>
      <c r="E25" s="1076">
        <f t="shared" ref="E25:N25" si="11">E24*E30</f>
        <v>707.77587868750004</v>
      </c>
      <c r="F25" s="1076">
        <f t="shared" si="11"/>
        <v>710.60817668749996</v>
      </c>
      <c r="G25" s="1076">
        <f t="shared" si="11"/>
        <v>713.56100837875022</v>
      </c>
      <c r="H25" s="1076">
        <f t="shared" si="11"/>
        <v>716.63557909816257</v>
      </c>
      <c r="I25" s="1076">
        <f t="shared" si="11"/>
        <v>719.83310623601915</v>
      </c>
      <c r="J25" s="1076">
        <f t="shared" si="11"/>
        <v>723.15481935650428</v>
      </c>
      <c r="K25" s="1076">
        <f t="shared" si="11"/>
        <v>726.60196031944452</v>
      </c>
      <c r="L25" s="1076">
        <f t="shared" si="11"/>
        <v>730.17578340326384</v>
      </c>
      <c r="M25" s="1076">
        <f t="shared" si="11"/>
        <v>733.87755542917137</v>
      </c>
      <c r="N25" s="1076">
        <f t="shared" si="11"/>
        <v>737.7085558865881</v>
      </c>
      <c r="O25" s="1393">
        <f t="shared" ref="O25:AB25" si="12">+N25*(1+O$29)</f>
        <v>745.08564144545403</v>
      </c>
      <c r="P25" s="1393">
        <f t="shared" si="12"/>
        <v>752.53649785990854</v>
      </c>
      <c r="Q25" s="1393">
        <f t="shared" si="12"/>
        <v>760.06186283850764</v>
      </c>
      <c r="R25" s="1393">
        <f t="shared" si="12"/>
        <v>767.6624814668927</v>
      </c>
      <c r="S25" s="1393">
        <f t="shared" si="12"/>
        <v>775.33910628156161</v>
      </c>
      <c r="T25" s="1393">
        <f t="shared" si="12"/>
        <v>783.09249734437719</v>
      </c>
      <c r="U25" s="1393">
        <f t="shared" si="12"/>
        <v>790.92342231782095</v>
      </c>
      <c r="V25" s="1393">
        <f t="shared" si="12"/>
        <v>798.83265654099921</v>
      </c>
      <c r="W25" s="1393">
        <f t="shared" si="12"/>
        <v>806.82098310640924</v>
      </c>
      <c r="X25" s="1393">
        <f t="shared" si="12"/>
        <v>814.88919293747335</v>
      </c>
      <c r="Y25" s="1393">
        <f t="shared" si="12"/>
        <v>823.03808486684807</v>
      </c>
      <c r="Z25" s="1393">
        <f t="shared" si="12"/>
        <v>831.26846571551653</v>
      </c>
      <c r="AA25" s="1393">
        <f t="shared" si="12"/>
        <v>839.58115037267169</v>
      </c>
      <c r="AB25" s="1393">
        <f t="shared" si="12"/>
        <v>847.97696187639838</v>
      </c>
    </row>
    <row r="26" spans="1:28" x14ac:dyDescent="0.25">
      <c r="A26" s="1394" t="s">
        <v>255</v>
      </c>
      <c r="B26" s="1395"/>
      <c r="C26" s="1395"/>
      <c r="D26" s="1396"/>
      <c r="E26" s="1397">
        <f t="shared" ref="E26:X26" si="13">E24-E25</f>
        <v>1314.4409175625001</v>
      </c>
      <c r="F26" s="1397">
        <f t="shared" si="13"/>
        <v>1319.7008995625001</v>
      </c>
      <c r="G26" s="1397">
        <f t="shared" si="13"/>
        <v>1325.1847298462503</v>
      </c>
      <c r="H26" s="1397">
        <f t="shared" si="13"/>
        <v>1330.8946468965878</v>
      </c>
      <c r="I26" s="1398">
        <f t="shared" si="13"/>
        <v>1336.8329115811787</v>
      </c>
      <c r="J26" s="1398">
        <f t="shared" si="13"/>
        <v>1343.0018073763652</v>
      </c>
      <c r="K26" s="1398">
        <f t="shared" si="13"/>
        <v>1349.4036405932543</v>
      </c>
      <c r="L26" s="1398">
        <f t="shared" si="13"/>
        <v>1356.0407406060617</v>
      </c>
      <c r="M26" s="1398">
        <f t="shared" si="13"/>
        <v>1362.9154600827469</v>
      </c>
      <c r="N26" s="1398">
        <f t="shared" si="13"/>
        <v>1370.0301752179496</v>
      </c>
      <c r="O26" s="1397">
        <f t="shared" si="13"/>
        <v>1373.9717215826288</v>
      </c>
      <c r="P26" s="1397">
        <f t="shared" si="13"/>
        <v>1378.2161425859558</v>
      </c>
      <c r="Q26" s="1397">
        <f t="shared" si="13"/>
        <v>1382.7664669743149</v>
      </c>
      <c r="R26" s="1397">
        <f t="shared" si="13"/>
        <v>1387.6257537815586</v>
      </c>
      <c r="S26" s="1398">
        <f t="shared" si="13"/>
        <v>1392.7970926318749</v>
      </c>
      <c r="T26" s="1398">
        <f t="shared" si="13"/>
        <v>1398.2836040456937</v>
      </c>
      <c r="U26" s="1398">
        <f t="shared" si="13"/>
        <v>1404.0884397486502</v>
      </c>
      <c r="V26" s="1398">
        <f t="shared" si="13"/>
        <v>1410.2147829836363</v>
      </c>
      <c r="W26" s="1398">
        <f t="shared" si="13"/>
        <v>1416.6658488259732</v>
      </c>
      <c r="X26" s="1398">
        <f t="shared" si="13"/>
        <v>1423.444884501733</v>
      </c>
      <c r="Y26" s="1398">
        <f>Y24-Y25</f>
        <v>1430.5551697092503</v>
      </c>
      <c r="Z26" s="1398">
        <f>Z24-Z25</f>
        <v>1438.0000169438435</v>
      </c>
      <c r="AA26" s="1398">
        <f>AA24-AA25</f>
        <v>1445.7827718257813</v>
      </c>
      <c r="AB26" s="1398">
        <f>AB24-AB25</f>
        <v>1453.9068134315394</v>
      </c>
    </row>
    <row r="28" spans="1:28" x14ac:dyDescent="0.25">
      <c r="A28" s="768"/>
      <c r="B28" s="768"/>
      <c r="C28" s="768"/>
      <c r="D28" s="1088">
        <v>0</v>
      </c>
      <c r="E28" s="1088">
        <v>1</v>
      </c>
      <c r="F28" s="1088">
        <v>2</v>
      </c>
      <c r="G28" s="1088">
        <v>3</v>
      </c>
      <c r="H28" s="1088">
        <v>4</v>
      </c>
      <c r="I28" s="1088">
        <v>5</v>
      </c>
      <c r="J28" s="1088">
        <v>6</v>
      </c>
      <c r="K28" s="1088">
        <v>7</v>
      </c>
      <c r="L28" s="1088">
        <v>8</v>
      </c>
      <c r="M28" s="1088">
        <v>9</v>
      </c>
      <c r="N28" s="1088">
        <v>10</v>
      </c>
      <c r="O28" s="1088">
        <v>11</v>
      </c>
      <c r="P28" s="1088">
        <v>12</v>
      </c>
      <c r="Q28" s="1088">
        <v>13</v>
      </c>
      <c r="R28" s="1088">
        <v>14</v>
      </c>
      <c r="S28" s="1088">
        <v>15</v>
      </c>
      <c r="T28" s="1088">
        <v>16</v>
      </c>
      <c r="U28" s="1088">
        <v>17</v>
      </c>
      <c r="V28" s="1088">
        <v>18</v>
      </c>
      <c r="W28" s="1088">
        <v>19</v>
      </c>
      <c r="X28" s="1088">
        <v>20</v>
      </c>
      <c r="Y28" s="1088">
        <v>21</v>
      </c>
      <c r="Z28" s="1088">
        <v>22</v>
      </c>
      <c r="AA28" s="1088">
        <v>23</v>
      </c>
      <c r="AB28" s="1088">
        <v>24</v>
      </c>
    </row>
    <row r="29" spans="1:28" x14ac:dyDescent="0.25">
      <c r="A29" s="1399" t="s">
        <v>256</v>
      </c>
      <c r="B29" s="1399" t="s">
        <v>257</v>
      </c>
      <c r="C29" s="1399"/>
      <c r="D29" s="1400">
        <v>0.01</v>
      </c>
      <c r="E29" s="1400">
        <v>0.01</v>
      </c>
      <c r="F29" s="1400">
        <v>0.01</v>
      </c>
      <c r="G29" s="1400">
        <v>0.01</v>
      </c>
      <c r="H29" s="1400">
        <v>0.01</v>
      </c>
      <c r="I29" s="1400">
        <v>0.01</v>
      </c>
      <c r="J29" s="1400">
        <v>0.01</v>
      </c>
      <c r="K29" s="1400">
        <v>0.01</v>
      </c>
      <c r="L29" s="1400">
        <v>0.01</v>
      </c>
      <c r="M29" s="1400">
        <v>0.01</v>
      </c>
      <c r="N29" s="1400">
        <v>0.01</v>
      </c>
      <c r="O29" s="1400">
        <v>0.01</v>
      </c>
      <c r="P29" s="1400">
        <v>0.01</v>
      </c>
      <c r="Q29" s="1400">
        <v>0.01</v>
      </c>
      <c r="R29" s="1400">
        <v>0.01</v>
      </c>
      <c r="S29" s="1400">
        <v>0.01</v>
      </c>
      <c r="T29" s="1400">
        <v>0.01</v>
      </c>
      <c r="U29" s="1400">
        <v>0.01</v>
      </c>
      <c r="V29" s="1400">
        <v>0.01</v>
      </c>
      <c r="W29" s="1400">
        <v>0.01</v>
      </c>
      <c r="X29" s="1400">
        <v>0.01</v>
      </c>
      <c r="Y29" s="1400">
        <v>0.01</v>
      </c>
      <c r="Z29" s="1400">
        <v>0.01</v>
      </c>
      <c r="AA29" s="1400">
        <v>0.01</v>
      </c>
      <c r="AB29" s="1400">
        <v>0.01</v>
      </c>
    </row>
    <row r="30" spans="1:28" x14ac:dyDescent="0.25">
      <c r="A30" s="1399" t="s">
        <v>258</v>
      </c>
      <c r="B30" s="1399" t="s">
        <v>259</v>
      </c>
      <c r="C30" s="1399"/>
      <c r="D30" s="1401">
        <v>0.35</v>
      </c>
      <c r="E30" s="1401">
        <v>0.35</v>
      </c>
      <c r="F30" s="1401">
        <v>0.35</v>
      </c>
      <c r="G30" s="1401">
        <v>0.35</v>
      </c>
      <c r="H30" s="1401">
        <v>0.35</v>
      </c>
      <c r="I30" s="1401">
        <v>0.35</v>
      </c>
      <c r="J30" s="1401">
        <v>0.35</v>
      </c>
      <c r="K30" s="1401">
        <v>0.35</v>
      </c>
      <c r="L30" s="1401">
        <v>0.35</v>
      </c>
      <c r="M30" s="1401">
        <v>0.35</v>
      </c>
      <c r="N30" s="1401">
        <v>0.35</v>
      </c>
      <c r="O30" s="1401">
        <v>0.35</v>
      </c>
      <c r="P30" s="1401">
        <v>0.35</v>
      </c>
      <c r="Q30" s="1401">
        <v>0.35</v>
      </c>
      <c r="R30" s="1401">
        <v>0.35</v>
      </c>
      <c r="S30" s="1401">
        <v>0.35</v>
      </c>
      <c r="T30" s="1401">
        <v>0.35</v>
      </c>
      <c r="U30" s="1401">
        <v>0.35</v>
      </c>
      <c r="V30" s="1401">
        <v>0.35</v>
      </c>
      <c r="W30" s="1401">
        <v>0.35</v>
      </c>
      <c r="X30" s="1401">
        <v>0.35</v>
      </c>
      <c r="Y30" s="1401">
        <v>0.35</v>
      </c>
      <c r="Z30" s="1401">
        <v>0.35</v>
      </c>
      <c r="AA30" s="1401">
        <v>0.35</v>
      </c>
      <c r="AB30" s="1401">
        <v>0.35</v>
      </c>
    </row>
    <row r="31" spans="1:28" x14ac:dyDescent="0.25">
      <c r="A31" s="1399" t="s">
        <v>260</v>
      </c>
      <c r="B31" s="1399" t="s">
        <v>261</v>
      </c>
      <c r="C31" s="1399"/>
      <c r="D31" s="1400">
        <v>7.0000000000000007E-2</v>
      </c>
      <c r="E31" s="1400">
        <v>7.0000000000000007E-2</v>
      </c>
      <c r="F31" s="1400">
        <v>7.0000000000000007E-2</v>
      </c>
      <c r="G31" s="1400">
        <v>7.0000000000000007E-2</v>
      </c>
      <c r="H31" s="1400">
        <v>7.0000000000000007E-2</v>
      </c>
      <c r="I31" s="1400">
        <v>7.0000000000000007E-2</v>
      </c>
      <c r="J31" s="1400">
        <v>7.0000000000000007E-2</v>
      </c>
      <c r="K31" s="1400">
        <v>7.0000000000000007E-2</v>
      </c>
      <c r="L31" s="1400">
        <v>7.0000000000000007E-2</v>
      </c>
      <c r="M31" s="1400">
        <v>7.0000000000000007E-2</v>
      </c>
      <c r="N31" s="1400">
        <v>7.0000000000000007E-2</v>
      </c>
      <c r="O31" s="1400">
        <v>7.0000000000000007E-2</v>
      </c>
      <c r="P31" s="1400">
        <v>7.0000000000000007E-2</v>
      </c>
      <c r="Q31" s="1400">
        <v>7.0000000000000007E-2</v>
      </c>
      <c r="R31" s="1400">
        <v>7.0000000000000007E-2</v>
      </c>
      <c r="S31" s="1400">
        <v>7.0000000000000007E-2</v>
      </c>
      <c r="T31" s="1400">
        <v>7.0000000000000007E-2</v>
      </c>
      <c r="U31" s="1400">
        <v>7.0000000000000007E-2</v>
      </c>
      <c r="V31" s="1400">
        <v>7.0000000000000007E-2</v>
      </c>
      <c r="W31" s="1400">
        <v>7.0000000000000007E-2</v>
      </c>
      <c r="X31" s="1400">
        <v>7.0000000000000007E-2</v>
      </c>
      <c r="Y31" s="1400">
        <v>7.0000000000000007E-2</v>
      </c>
      <c r="Z31" s="1400">
        <v>7.0000000000000007E-2</v>
      </c>
      <c r="AA31" s="1400">
        <v>7.0000000000000007E-2</v>
      </c>
      <c r="AB31" s="1400">
        <v>7.0000000000000007E-2</v>
      </c>
    </row>
    <row r="32" spans="1:28" x14ac:dyDescent="0.25">
      <c r="A32" s="1399" t="s">
        <v>262</v>
      </c>
      <c r="B32" s="1399" t="s">
        <v>263</v>
      </c>
      <c r="C32" s="1399"/>
      <c r="D32" s="1400">
        <v>0.04</v>
      </c>
      <c r="E32" s="1400">
        <v>0.04</v>
      </c>
      <c r="F32" s="1400">
        <v>0.04</v>
      </c>
      <c r="G32" s="1400">
        <v>0.04</v>
      </c>
      <c r="H32" s="1400">
        <v>0.04</v>
      </c>
      <c r="I32" s="1400">
        <v>0.04</v>
      </c>
      <c r="J32" s="1400">
        <v>0.04</v>
      </c>
      <c r="K32" s="1400">
        <v>0.04</v>
      </c>
      <c r="L32" s="1400">
        <v>0.04</v>
      </c>
      <c r="M32" s="1400">
        <v>0.04</v>
      </c>
      <c r="N32" s="1400">
        <v>0.04</v>
      </c>
      <c r="O32" s="1400">
        <v>0.04</v>
      </c>
      <c r="P32" s="1400">
        <v>0.04</v>
      </c>
      <c r="Q32" s="1400">
        <v>0.04</v>
      </c>
      <c r="R32" s="1400">
        <v>0.04</v>
      </c>
      <c r="S32" s="1400">
        <v>0.04</v>
      </c>
      <c r="T32" s="1400">
        <v>0.04</v>
      </c>
      <c r="U32" s="1400">
        <v>0.04</v>
      </c>
      <c r="V32" s="1400">
        <v>0.04</v>
      </c>
      <c r="W32" s="1400">
        <v>0.04</v>
      </c>
      <c r="X32" s="1400">
        <v>0.04</v>
      </c>
      <c r="Y32" s="1400">
        <v>0.04</v>
      </c>
      <c r="Z32" s="1400">
        <v>0.04</v>
      </c>
      <c r="AA32" s="1400">
        <v>0.04</v>
      </c>
      <c r="AB32" s="1400">
        <v>0.04</v>
      </c>
    </row>
    <row r="33" spans="1:28" x14ac:dyDescent="0.25">
      <c r="A33" s="1399" t="s">
        <v>264</v>
      </c>
      <c r="B33" s="1399" t="s">
        <v>265</v>
      </c>
      <c r="C33" s="1399"/>
      <c r="D33" s="1400">
        <v>0.08</v>
      </c>
      <c r="E33" s="1400">
        <v>0.08</v>
      </c>
      <c r="F33" s="1400">
        <v>0.08</v>
      </c>
      <c r="G33" s="1400">
        <v>0.08</v>
      </c>
      <c r="H33" s="1400">
        <v>0.08</v>
      </c>
      <c r="I33" s="1400">
        <v>0.08</v>
      </c>
      <c r="J33" s="1400">
        <v>0.08</v>
      </c>
      <c r="K33" s="1400">
        <v>0.08</v>
      </c>
      <c r="L33" s="1400">
        <v>0.08</v>
      </c>
      <c r="M33" s="1400">
        <v>0.08</v>
      </c>
      <c r="N33" s="1400">
        <v>0.08</v>
      </c>
      <c r="O33" s="1400">
        <v>0.08</v>
      </c>
      <c r="P33" s="1400">
        <v>0.08</v>
      </c>
      <c r="Q33" s="1400">
        <v>0.08</v>
      </c>
      <c r="R33" s="1400">
        <v>0.08</v>
      </c>
      <c r="S33" s="1400">
        <v>0.08</v>
      </c>
      <c r="T33" s="1400">
        <v>0.08</v>
      </c>
      <c r="U33" s="1400">
        <v>0.08</v>
      </c>
      <c r="V33" s="1400">
        <v>0.08</v>
      </c>
      <c r="W33" s="1400">
        <v>0.08</v>
      </c>
      <c r="X33" s="1400">
        <v>0.08</v>
      </c>
      <c r="Y33" s="1400">
        <v>0.08</v>
      </c>
      <c r="Z33" s="1400">
        <v>0.08</v>
      </c>
      <c r="AA33" s="1400">
        <v>0.08</v>
      </c>
      <c r="AB33" s="1400">
        <v>0.08</v>
      </c>
    </row>
    <row r="34" spans="1:28" x14ac:dyDescent="0.25">
      <c r="A34" s="1399" t="s">
        <v>266</v>
      </c>
      <c r="B34" s="1399" t="s">
        <v>267</v>
      </c>
      <c r="C34" s="1399"/>
      <c r="D34" s="1402">
        <v>0.9</v>
      </c>
      <c r="E34" s="1402">
        <v>0.9</v>
      </c>
      <c r="F34" s="1402">
        <v>0.9</v>
      </c>
      <c r="G34" s="1402">
        <v>0.9</v>
      </c>
      <c r="H34" s="1402">
        <v>0.9</v>
      </c>
      <c r="I34" s="1402">
        <v>0.9</v>
      </c>
      <c r="J34" s="1402">
        <v>0.9</v>
      </c>
      <c r="K34" s="1402">
        <v>0.9</v>
      </c>
      <c r="L34" s="1402">
        <v>0.9</v>
      </c>
      <c r="M34" s="1402">
        <v>0.9</v>
      </c>
      <c r="N34" s="1402">
        <v>0.9</v>
      </c>
      <c r="O34" s="1402">
        <v>0.9</v>
      </c>
      <c r="P34" s="1402">
        <v>0.9</v>
      </c>
      <c r="Q34" s="1402">
        <v>0.9</v>
      </c>
      <c r="R34" s="1402">
        <v>0.9</v>
      </c>
      <c r="S34" s="1402">
        <v>0.9</v>
      </c>
      <c r="T34" s="1402">
        <v>0.9</v>
      </c>
      <c r="U34" s="1402">
        <v>0.9</v>
      </c>
      <c r="V34" s="1402">
        <v>0.9</v>
      </c>
      <c r="W34" s="1402">
        <v>0.9</v>
      </c>
      <c r="X34" s="1402">
        <v>0.9</v>
      </c>
      <c r="Y34" s="1402">
        <v>0.9</v>
      </c>
      <c r="Z34" s="1402">
        <v>0.9</v>
      </c>
      <c r="AA34" s="1402">
        <v>0.9</v>
      </c>
      <c r="AB34" s="1402">
        <v>0.9</v>
      </c>
    </row>
    <row r="35" spans="1:28" x14ac:dyDescent="0.25">
      <c r="A35" s="1399" t="s">
        <v>268</v>
      </c>
      <c r="B35" s="1399" t="s">
        <v>269</v>
      </c>
      <c r="C35" s="1399" t="s">
        <v>324</v>
      </c>
      <c r="D35" s="1400">
        <v>7.0000000000000007E-2</v>
      </c>
      <c r="E35" s="1400">
        <v>7.0000000000000007E-2</v>
      </c>
      <c r="F35" s="1400">
        <v>7.0000000000000007E-2</v>
      </c>
      <c r="G35" s="1400">
        <v>7.0000000000000007E-2</v>
      </c>
      <c r="H35" s="1400">
        <v>7.0000000000000007E-2</v>
      </c>
      <c r="I35" s="1400">
        <v>7.0000000000000007E-2</v>
      </c>
      <c r="J35" s="1400">
        <v>7.0000000000000007E-2</v>
      </c>
      <c r="K35" s="1400">
        <v>7.0000000000000007E-2</v>
      </c>
      <c r="L35" s="1400">
        <v>7.0000000000000007E-2</v>
      </c>
      <c r="M35" s="1400">
        <v>7.0000000000000007E-2</v>
      </c>
      <c r="N35" s="1400">
        <v>7.0000000000000007E-2</v>
      </c>
      <c r="O35" s="1400">
        <v>7.0000000000000007E-2</v>
      </c>
      <c r="P35" s="1400">
        <v>7.0000000000000007E-2</v>
      </c>
      <c r="Q35" s="1400">
        <v>7.0000000000000007E-2</v>
      </c>
      <c r="R35" s="1400">
        <v>7.0000000000000007E-2</v>
      </c>
      <c r="S35" s="1400">
        <v>7.0000000000000007E-2</v>
      </c>
      <c r="T35" s="1400">
        <v>7.0000000000000007E-2</v>
      </c>
      <c r="U35" s="1400">
        <v>7.0000000000000007E-2</v>
      </c>
      <c r="V35" s="1400">
        <v>7.0000000000000007E-2</v>
      </c>
      <c r="W35" s="1400">
        <v>7.0000000000000007E-2</v>
      </c>
      <c r="X35" s="1400">
        <v>7.0000000000000007E-2</v>
      </c>
      <c r="Y35" s="1400">
        <v>7.0000000000000007E-2</v>
      </c>
      <c r="Z35" s="1400">
        <v>7.0000000000000007E-2</v>
      </c>
      <c r="AA35" s="1400">
        <v>7.0000000000000007E-2</v>
      </c>
      <c r="AB35" s="1400">
        <v>7.0000000000000007E-2</v>
      </c>
    </row>
    <row r="36" spans="1:28" x14ac:dyDescent="0.25">
      <c r="A36" s="707" t="s">
        <v>270</v>
      </c>
      <c r="B36" s="707" t="s">
        <v>271</v>
      </c>
      <c r="C36" s="1403" t="s">
        <v>325</v>
      </c>
      <c r="D36" s="1403">
        <f t="shared" ref="D36:AB36" si="14">+(D31-D32)/D33</f>
        <v>0.37500000000000006</v>
      </c>
      <c r="E36" s="1403">
        <f t="shared" si="14"/>
        <v>0.37500000000000006</v>
      </c>
      <c r="F36" s="1403">
        <f t="shared" si="14"/>
        <v>0.37500000000000006</v>
      </c>
      <c r="G36" s="1403">
        <f t="shared" si="14"/>
        <v>0.37500000000000006</v>
      </c>
      <c r="H36" s="1403">
        <f t="shared" si="14"/>
        <v>0.37500000000000006</v>
      </c>
      <c r="I36" s="1403">
        <f t="shared" si="14"/>
        <v>0.37500000000000006</v>
      </c>
      <c r="J36" s="1403">
        <f t="shared" si="14"/>
        <v>0.37500000000000006</v>
      </c>
      <c r="K36" s="1403">
        <f t="shared" si="14"/>
        <v>0.37500000000000006</v>
      </c>
      <c r="L36" s="1403">
        <f t="shared" si="14"/>
        <v>0.37500000000000006</v>
      </c>
      <c r="M36" s="1403">
        <f t="shared" si="14"/>
        <v>0.37500000000000006</v>
      </c>
      <c r="N36" s="1403">
        <f t="shared" si="14"/>
        <v>0.37500000000000006</v>
      </c>
      <c r="O36" s="1403">
        <f t="shared" si="14"/>
        <v>0.37500000000000006</v>
      </c>
      <c r="P36" s="1403">
        <f t="shared" si="14"/>
        <v>0.37500000000000006</v>
      </c>
      <c r="Q36" s="1403">
        <f t="shared" si="14"/>
        <v>0.37500000000000006</v>
      </c>
      <c r="R36" s="1403">
        <f t="shared" ref="R36:AA41" si="15">+Q36</f>
        <v>0.37500000000000006</v>
      </c>
      <c r="S36" s="1403">
        <f t="shared" si="14"/>
        <v>0.37500000000000006</v>
      </c>
      <c r="T36" s="1403">
        <f t="shared" si="14"/>
        <v>0.37500000000000006</v>
      </c>
      <c r="U36" s="1403">
        <f t="shared" si="14"/>
        <v>0.37500000000000006</v>
      </c>
      <c r="V36" s="1403">
        <f t="shared" si="14"/>
        <v>0.37500000000000006</v>
      </c>
      <c r="W36" s="1403">
        <f t="shared" si="14"/>
        <v>0.37500000000000006</v>
      </c>
      <c r="X36" s="1403">
        <f t="shared" si="14"/>
        <v>0.37500000000000006</v>
      </c>
      <c r="Y36" s="1403">
        <f t="shared" si="14"/>
        <v>0.37500000000000006</v>
      </c>
      <c r="Z36" s="1403">
        <f t="shared" si="14"/>
        <v>0.37500000000000006</v>
      </c>
      <c r="AA36" s="1403">
        <f t="shared" si="14"/>
        <v>0.37500000000000006</v>
      </c>
      <c r="AB36" s="1403">
        <f t="shared" si="14"/>
        <v>0.37500000000000006</v>
      </c>
    </row>
    <row r="37" spans="1:28" x14ac:dyDescent="0.25">
      <c r="A37" s="707" t="s">
        <v>272</v>
      </c>
      <c r="B37" s="707" t="s">
        <v>273</v>
      </c>
      <c r="C37" s="1377" t="s">
        <v>326</v>
      </c>
      <c r="D37" s="1377">
        <f>+D32+(D33*D34)</f>
        <v>0.11200000000000002</v>
      </c>
      <c r="E37" s="1377">
        <f t="shared" ref="E37:Q37" si="16">+E32+(E33*E34)</f>
        <v>0.11200000000000002</v>
      </c>
      <c r="F37" s="1377">
        <f t="shared" si="16"/>
        <v>0.11200000000000002</v>
      </c>
      <c r="G37" s="1377">
        <f t="shared" si="16"/>
        <v>0.11200000000000002</v>
      </c>
      <c r="H37" s="1377">
        <f t="shared" si="16"/>
        <v>0.11200000000000002</v>
      </c>
      <c r="I37" s="1377">
        <f t="shared" si="16"/>
        <v>0.11200000000000002</v>
      </c>
      <c r="J37" s="1377">
        <f t="shared" si="16"/>
        <v>0.11200000000000002</v>
      </c>
      <c r="K37" s="1377">
        <f t="shared" si="16"/>
        <v>0.11200000000000002</v>
      </c>
      <c r="L37" s="1377">
        <f t="shared" si="16"/>
        <v>0.11200000000000002</v>
      </c>
      <c r="M37" s="1377">
        <f t="shared" si="16"/>
        <v>0.11200000000000002</v>
      </c>
      <c r="N37" s="1377">
        <f t="shared" si="16"/>
        <v>0.11200000000000002</v>
      </c>
      <c r="O37" s="1377">
        <f t="shared" si="16"/>
        <v>0.11200000000000002</v>
      </c>
      <c r="P37" s="1377">
        <f t="shared" si="16"/>
        <v>0.11200000000000002</v>
      </c>
      <c r="Q37" s="1377">
        <f t="shared" si="16"/>
        <v>0.11200000000000002</v>
      </c>
      <c r="R37" s="1377">
        <f t="shared" si="15"/>
        <v>0.11200000000000002</v>
      </c>
      <c r="S37" s="1377">
        <f t="shared" si="15"/>
        <v>0.11200000000000002</v>
      </c>
      <c r="T37" s="1377">
        <f t="shared" si="15"/>
        <v>0.11200000000000002</v>
      </c>
      <c r="U37" s="1377">
        <f t="shared" si="15"/>
        <v>0.11200000000000002</v>
      </c>
      <c r="V37" s="1377">
        <f t="shared" si="15"/>
        <v>0.11200000000000002</v>
      </c>
      <c r="W37" s="1377">
        <f t="shared" si="15"/>
        <v>0.11200000000000002</v>
      </c>
      <c r="X37" s="1377">
        <f t="shared" si="15"/>
        <v>0.11200000000000002</v>
      </c>
      <c r="Y37" s="1377">
        <f t="shared" si="15"/>
        <v>0.11200000000000002</v>
      </c>
      <c r="Z37" s="1377">
        <f t="shared" si="15"/>
        <v>0.11200000000000002</v>
      </c>
      <c r="AA37" s="1377">
        <f t="shared" si="15"/>
        <v>0.11200000000000002</v>
      </c>
      <c r="AB37" s="1377">
        <f>+AB32+(AB33*AB34)</f>
        <v>0.11200000000000002</v>
      </c>
    </row>
    <row r="38" spans="1:28" x14ac:dyDescent="0.25">
      <c r="A38" s="707" t="s">
        <v>274</v>
      </c>
      <c r="B38" s="707" t="s">
        <v>275</v>
      </c>
      <c r="C38" s="1404" t="s">
        <v>327</v>
      </c>
      <c r="D38" s="1404">
        <f t="shared" ref="D38:Q38" si="17">+((D34*(D14*(1-D30)+D76)/D76)-(D36*D14*(1-D30)/D76))</f>
        <v>1.4800879043636754</v>
      </c>
      <c r="E38" s="1404">
        <f t="shared" si="17"/>
        <v>1.5023404905693862</v>
      </c>
      <c r="F38" s="1404">
        <f t="shared" si="17"/>
        <v>1.5245217571296541</v>
      </c>
      <c r="G38" s="1404">
        <f t="shared" si="17"/>
        <v>1.5466055463202684</v>
      </c>
      <c r="H38" s="1404">
        <f t="shared" si="17"/>
        <v>1.5685652830581025</v>
      </c>
      <c r="I38" s="1404">
        <f t="shared" si="17"/>
        <v>1.5903740639821233</v>
      </c>
      <c r="J38" s="1404">
        <f t="shared" si="17"/>
        <v>1.6120047515243363</v>
      </c>
      <c r="K38" s="1404">
        <f t="shared" si="17"/>
        <v>1.6334300724056461</v>
      </c>
      <c r="L38" s="1404">
        <f t="shared" si="17"/>
        <v>1.6546227199189538</v>
      </c>
      <c r="M38" s="1404">
        <f t="shared" si="17"/>
        <v>1.6755554592946051</v>
      </c>
      <c r="N38" s="1404">
        <f t="shared" si="17"/>
        <v>1.6962012353830422</v>
      </c>
      <c r="O38" s="1404">
        <f t="shared" si="17"/>
        <v>1.7165332818375318</v>
      </c>
      <c r="P38" s="1404">
        <f t="shared" si="17"/>
        <v>1.7365252309374912</v>
      </c>
      <c r="Q38" s="1404">
        <f t="shared" si="17"/>
        <v>1.7561512231612264</v>
      </c>
      <c r="R38" s="1404">
        <f t="shared" si="15"/>
        <v>1.7561512231612264</v>
      </c>
      <c r="S38" s="1404">
        <f t="shared" si="15"/>
        <v>1.7561512231612264</v>
      </c>
      <c r="T38" s="1404">
        <f t="shared" si="15"/>
        <v>1.7561512231612264</v>
      </c>
      <c r="U38" s="1404">
        <f t="shared" si="15"/>
        <v>1.7561512231612264</v>
      </c>
      <c r="V38" s="1404">
        <f t="shared" si="15"/>
        <v>1.7561512231612264</v>
      </c>
      <c r="W38" s="1404">
        <f t="shared" si="15"/>
        <v>1.7561512231612264</v>
      </c>
      <c r="X38" s="1404">
        <f t="shared" si="15"/>
        <v>1.7561512231612264</v>
      </c>
      <c r="Y38" s="1404">
        <f t="shared" si="15"/>
        <v>1.7561512231612264</v>
      </c>
      <c r="Z38" s="1404">
        <f t="shared" si="15"/>
        <v>1.7561512231612264</v>
      </c>
      <c r="AA38" s="1404">
        <f t="shared" si="15"/>
        <v>1.7561512231612264</v>
      </c>
    </row>
    <row r="39" spans="1:28" x14ac:dyDescent="0.25">
      <c r="A39" s="707" t="s">
        <v>276</v>
      </c>
      <c r="B39" s="707" t="s">
        <v>277</v>
      </c>
      <c r="C39" s="1377" t="s">
        <v>328</v>
      </c>
      <c r="D39" s="1377">
        <f>+D32+(D38*D33)</f>
        <v>0.15840703234909403</v>
      </c>
      <c r="E39" s="1377">
        <f t="shared" ref="E39:Q39" si="18">+E32+(E38*E33)</f>
        <v>0.16018723924555089</v>
      </c>
      <c r="F39" s="1377">
        <f t="shared" si="18"/>
        <v>0.16196174057037233</v>
      </c>
      <c r="G39" s="1377">
        <f t="shared" si="18"/>
        <v>0.16372844370562148</v>
      </c>
      <c r="H39" s="1377">
        <f t="shared" si="18"/>
        <v>0.16548522264464821</v>
      </c>
      <c r="I39" s="1377">
        <f t="shared" si="18"/>
        <v>0.16722992511856988</v>
      </c>
      <c r="J39" s="1377">
        <f t="shared" si="18"/>
        <v>0.16896038012194692</v>
      </c>
      <c r="K39" s="1377">
        <f t="shared" si="18"/>
        <v>0.17067440579245169</v>
      </c>
      <c r="L39" s="1377">
        <f t="shared" si="18"/>
        <v>0.17236981759351633</v>
      </c>
      <c r="M39" s="1377">
        <f t="shared" si="18"/>
        <v>0.17404443674356843</v>
      </c>
      <c r="N39" s="1377">
        <f t="shared" si="18"/>
        <v>0.17569609883064338</v>
      </c>
      <c r="O39" s="1377">
        <f t="shared" si="18"/>
        <v>0.17732266254700255</v>
      </c>
      <c r="P39" s="1377">
        <f t="shared" si="18"/>
        <v>0.17892201847499931</v>
      </c>
      <c r="Q39" s="1377">
        <f t="shared" si="18"/>
        <v>0.18049209785289813</v>
      </c>
      <c r="R39" s="1377">
        <f t="shared" si="15"/>
        <v>0.18049209785289813</v>
      </c>
      <c r="S39" s="1377">
        <f t="shared" si="15"/>
        <v>0.18049209785289813</v>
      </c>
      <c r="T39" s="1377">
        <f t="shared" si="15"/>
        <v>0.18049209785289813</v>
      </c>
      <c r="U39" s="1377">
        <f t="shared" si="15"/>
        <v>0.18049209785289813</v>
      </c>
      <c r="V39" s="1377">
        <f t="shared" si="15"/>
        <v>0.18049209785289813</v>
      </c>
      <c r="W39" s="1377">
        <f t="shared" si="15"/>
        <v>0.18049209785289813</v>
      </c>
      <c r="X39" s="1377">
        <f t="shared" si="15"/>
        <v>0.18049209785289813</v>
      </c>
      <c r="Y39" s="1377">
        <f t="shared" si="15"/>
        <v>0.18049209785289813</v>
      </c>
      <c r="Z39" s="1377">
        <f t="shared" si="15"/>
        <v>0.18049209785289813</v>
      </c>
      <c r="AA39" s="1377">
        <f t="shared" si="15"/>
        <v>0.18049209785289813</v>
      </c>
    </row>
    <row r="40" spans="1:28" x14ac:dyDescent="0.25">
      <c r="A40" s="707" t="s">
        <v>278</v>
      </c>
      <c r="B40" s="707"/>
      <c r="C40" s="1405" t="s">
        <v>329</v>
      </c>
      <c r="D40" s="1405"/>
      <c r="E40" s="1405">
        <f>+(D76/(D76+D14)*E39)+(D14/(D76+D14)*E31*(1-E30))</f>
        <v>8.797846550888877E-2</v>
      </c>
      <c r="F40" s="1405">
        <f t="shared" ref="F40:Q40" si="19">+(E76/(E76+E14)*F39)+(E14/(E76+E14)*F31*(1-F30))</f>
        <v>8.7618450076428711E-2</v>
      </c>
      <c r="G40" s="1405">
        <f t="shared" si="19"/>
        <v>8.7275353355178914E-2</v>
      </c>
      <c r="H40" s="1405">
        <f t="shared" si="19"/>
        <v>8.6948324484288131E-2</v>
      </c>
      <c r="I40" s="1405">
        <f t="shared" si="19"/>
        <v>8.6636569869404365E-2</v>
      </c>
      <c r="J40" s="1405">
        <f t="shared" si="19"/>
        <v>8.6339348545231745E-2</v>
      </c>
      <c r="K40" s="1405">
        <f t="shared" si="19"/>
        <v>8.6055967979117326E-2</v>
      </c>
      <c r="L40" s="1405">
        <f t="shared" si="19"/>
        <v>8.5785780266562611E-2</v>
      </c>
      <c r="M40" s="1405">
        <f t="shared" si="19"/>
        <v>8.5528178675701366E-2</v>
      </c>
      <c r="N40" s="1405">
        <f t="shared" si="19"/>
        <v>8.5282594503092321E-2</v>
      </c>
      <c r="O40" s="1405">
        <f t="shared" si="19"/>
        <v>8.5048494207767833E-2</v>
      </c>
      <c r="P40" s="1405">
        <f t="shared" si="19"/>
        <v>8.4825376794465279E-2</v>
      </c>
      <c r="Q40" s="1405">
        <f t="shared" si="19"/>
        <v>8.4612771420429361E-2</v>
      </c>
      <c r="R40" s="1405">
        <f t="shared" si="15"/>
        <v>8.4612771420429361E-2</v>
      </c>
      <c r="S40" s="1405">
        <f t="shared" si="15"/>
        <v>8.4612771420429361E-2</v>
      </c>
      <c r="T40" s="1405">
        <f t="shared" si="15"/>
        <v>8.4612771420429361E-2</v>
      </c>
      <c r="U40" s="1405">
        <f t="shared" si="15"/>
        <v>8.4612771420429361E-2</v>
      </c>
      <c r="V40" s="1405">
        <f t="shared" si="15"/>
        <v>8.4612771420429361E-2</v>
      </c>
      <c r="W40" s="1405">
        <f t="shared" si="15"/>
        <v>8.4612771420429361E-2</v>
      </c>
      <c r="X40" s="1405">
        <f t="shared" si="15"/>
        <v>8.4612771420429361E-2</v>
      </c>
      <c r="Y40" s="1405">
        <f t="shared" si="15"/>
        <v>8.4612771420429361E-2</v>
      </c>
      <c r="Z40" s="1405">
        <f t="shared" si="15"/>
        <v>8.4612771420429361E-2</v>
      </c>
      <c r="AA40" s="1405">
        <f t="shared" si="15"/>
        <v>8.4612771420429361E-2</v>
      </c>
    </row>
    <row r="41" spans="1:28" x14ac:dyDescent="0.25">
      <c r="A41" s="707" t="s">
        <v>279</v>
      </c>
      <c r="B41" s="707"/>
      <c r="C41" s="1405" t="s">
        <v>330</v>
      </c>
      <c r="D41" s="1405"/>
      <c r="E41" s="1405">
        <f>+(D76/(D76+D14)*E39)+(D14/(D76+D14)*E31)</f>
        <v>0.10340402608725845</v>
      </c>
      <c r="F41" s="1405">
        <f t="shared" ref="F41:Q41" si="20">+(E76/(E76+E14)*F39)+(E14/(E76+E14)*F31)</f>
        <v>0.10325801211784458</v>
      </c>
      <c r="G41" s="1405">
        <f t="shared" si="20"/>
        <v>0.10311841662216821</v>
      </c>
      <c r="H41" s="1405">
        <f t="shared" si="20"/>
        <v>0.1029849160121253</v>
      </c>
      <c r="I41" s="1405">
        <f t="shared" si="20"/>
        <v>0.10285720913851815</v>
      </c>
      <c r="J41" s="1405">
        <f t="shared" si="20"/>
        <v>0.10273501549223224</v>
      </c>
      <c r="K41" s="1405">
        <f t="shared" si="20"/>
        <v>0.10261807357332425</v>
      </c>
      <c r="L41" s="1405">
        <f t="shared" si="20"/>
        <v>0.10250613940908869</v>
      </c>
      <c r="M41" s="1405">
        <f t="shared" si="20"/>
        <v>0.10239898520456694</v>
      </c>
      <c r="N41" s="1405">
        <f t="shared" si="20"/>
        <v>0.10229639811103607</v>
      </c>
      <c r="O41" s="1405">
        <f t="shared" si="20"/>
        <v>0.10219817909981113</v>
      </c>
      <c r="P41" s="1405">
        <f t="shared" si="20"/>
        <v>0.1021041419302593</v>
      </c>
      <c r="Q41" s="1405">
        <f t="shared" si="20"/>
        <v>0.10201411220228204</v>
      </c>
      <c r="R41" s="1405">
        <f t="shared" si="15"/>
        <v>0.10201411220228204</v>
      </c>
      <c r="S41" s="1405">
        <f t="shared" si="15"/>
        <v>0.10201411220228204</v>
      </c>
      <c r="T41" s="1405">
        <f t="shared" si="15"/>
        <v>0.10201411220228204</v>
      </c>
      <c r="U41" s="1405">
        <f t="shared" si="15"/>
        <v>0.10201411220228204</v>
      </c>
      <c r="V41" s="1405">
        <f t="shared" si="15"/>
        <v>0.10201411220228204</v>
      </c>
      <c r="W41" s="1405">
        <f t="shared" si="15"/>
        <v>0.10201411220228204</v>
      </c>
      <c r="X41" s="1405">
        <f t="shared" si="15"/>
        <v>0.10201411220228204</v>
      </c>
      <c r="Y41" s="1405">
        <f t="shared" si="15"/>
        <v>0.10201411220228204</v>
      </c>
      <c r="Z41" s="1405">
        <f t="shared" si="15"/>
        <v>0.10201411220228204</v>
      </c>
      <c r="AA41" s="1405">
        <f t="shared" si="15"/>
        <v>0.10201411220228204</v>
      </c>
    </row>
    <row r="42" spans="1:28" x14ac:dyDescent="0.25">
      <c r="A42" s="707"/>
      <c r="B42" s="707"/>
      <c r="C42" s="707"/>
      <c r="D42" s="1405"/>
      <c r="E42" s="1405"/>
      <c r="F42" s="1405"/>
      <c r="G42" s="1405"/>
      <c r="H42" s="1405"/>
      <c r="I42" s="1405"/>
      <c r="J42" s="1405"/>
      <c r="K42" s="1405"/>
      <c r="L42" s="1405"/>
      <c r="M42" s="1405"/>
      <c r="N42" s="1405"/>
      <c r="O42" s="1405"/>
      <c r="P42" s="1405"/>
      <c r="Q42" s="1405"/>
      <c r="R42" s="1405"/>
      <c r="S42" s="1405"/>
      <c r="T42" s="1405"/>
      <c r="U42" s="1405"/>
      <c r="V42" s="1405"/>
      <c r="W42" s="1405"/>
      <c r="X42" s="1405"/>
      <c r="Y42" s="1405"/>
      <c r="Z42" s="1405"/>
      <c r="AA42" s="1405"/>
    </row>
    <row r="43" spans="1:28" ht="16.5" thickBot="1" x14ac:dyDescent="0.3">
      <c r="A43" s="707"/>
      <c r="B43" s="707"/>
      <c r="C43" s="707"/>
      <c r="D43" s="707"/>
      <c r="E43" s="1406"/>
      <c r="F43" s="1378"/>
      <c r="G43" s="1378"/>
      <c r="H43" s="1378"/>
      <c r="I43" s="1378"/>
      <c r="J43" s="1378"/>
      <c r="K43" s="1378"/>
      <c r="L43" s="1378"/>
      <c r="M43" s="1378"/>
      <c r="N43" s="1378"/>
      <c r="O43" s="1378"/>
      <c r="P43" s="1378"/>
    </row>
    <row r="44" spans="1:28" x14ac:dyDescent="0.25">
      <c r="A44" s="325" t="s">
        <v>280</v>
      </c>
      <c r="B44" s="1125"/>
      <c r="C44" s="1125"/>
      <c r="D44" s="1046">
        <v>0</v>
      </c>
      <c r="E44" s="1046">
        <v>1</v>
      </c>
      <c r="F44" s="1046">
        <f t="shared" ref="F44:AB44" si="21">E44+1</f>
        <v>2</v>
      </c>
      <c r="G44" s="1046">
        <f t="shared" si="21"/>
        <v>3</v>
      </c>
      <c r="H44" s="1046">
        <f t="shared" si="21"/>
        <v>4</v>
      </c>
      <c r="I44" s="1046">
        <f t="shared" si="21"/>
        <v>5</v>
      </c>
      <c r="J44" s="1046">
        <f t="shared" si="21"/>
        <v>6</v>
      </c>
      <c r="K44" s="1046">
        <f t="shared" si="21"/>
        <v>7</v>
      </c>
      <c r="L44" s="1046">
        <f t="shared" si="21"/>
        <v>8</v>
      </c>
      <c r="M44" s="1046">
        <f t="shared" si="21"/>
        <v>9</v>
      </c>
      <c r="N44" s="1046">
        <f t="shared" si="21"/>
        <v>10</v>
      </c>
      <c r="O44" s="1046">
        <f t="shared" si="21"/>
        <v>11</v>
      </c>
      <c r="P44" s="1046">
        <f t="shared" si="21"/>
        <v>12</v>
      </c>
      <c r="Q44" s="1046">
        <f t="shared" si="21"/>
        <v>13</v>
      </c>
      <c r="R44" s="1046">
        <f t="shared" si="21"/>
        <v>14</v>
      </c>
      <c r="S44" s="1046">
        <f t="shared" si="21"/>
        <v>15</v>
      </c>
      <c r="T44" s="1046">
        <f t="shared" si="21"/>
        <v>16</v>
      </c>
      <c r="U44" s="1046">
        <f t="shared" si="21"/>
        <v>17</v>
      </c>
      <c r="V44" s="1046">
        <f t="shared" si="21"/>
        <v>18</v>
      </c>
      <c r="W44" s="1046">
        <f t="shared" si="21"/>
        <v>19</v>
      </c>
      <c r="X44" s="1046">
        <f t="shared" si="21"/>
        <v>20</v>
      </c>
      <c r="Y44" s="1046">
        <f t="shared" si="21"/>
        <v>21</v>
      </c>
      <c r="Z44" s="1046">
        <f t="shared" si="21"/>
        <v>22</v>
      </c>
      <c r="AA44" s="1046">
        <f t="shared" si="21"/>
        <v>23</v>
      </c>
      <c r="AB44" s="1046">
        <f t="shared" si="21"/>
        <v>24</v>
      </c>
    </row>
    <row r="45" spans="1:28" x14ac:dyDescent="0.25">
      <c r="A45" s="309"/>
      <c r="B45" s="298"/>
      <c r="C45" s="298"/>
      <c r="D45" s="1082"/>
      <c r="E45" s="1082"/>
      <c r="F45" s="1082"/>
      <c r="G45" s="1082"/>
      <c r="H45" s="1082"/>
      <c r="I45" s="1082"/>
      <c r="J45" s="1082"/>
      <c r="K45" s="1082"/>
      <c r="L45" s="1082"/>
      <c r="M45" s="1082"/>
      <c r="N45" s="1082"/>
      <c r="O45" s="1082"/>
      <c r="P45" s="1082"/>
      <c r="Q45" s="1082"/>
      <c r="R45" s="1082"/>
      <c r="S45" s="1082"/>
      <c r="T45" s="1082"/>
      <c r="U45" s="1082"/>
      <c r="V45" s="1082"/>
      <c r="W45" s="1082"/>
      <c r="X45" s="1082"/>
      <c r="Y45" s="1082"/>
      <c r="Z45" s="1082"/>
      <c r="AA45" s="1082"/>
      <c r="AB45" s="1082"/>
    </row>
    <row r="46" spans="1:28" x14ac:dyDescent="0.25">
      <c r="A46" s="766" t="s">
        <v>281</v>
      </c>
      <c r="B46" s="768"/>
      <c r="C46" s="768"/>
      <c r="D46" s="768"/>
      <c r="E46" s="1128">
        <f>+E22</f>
        <v>2788.9034250000004</v>
      </c>
      <c r="F46" s="1128">
        <f t="shared" ref="F46:AB46" si="22">+F22</f>
        <v>2823.3416225000001</v>
      </c>
      <c r="G46" s="1128">
        <f t="shared" si="22"/>
        <v>2858.1242019750007</v>
      </c>
      <c r="H46" s="1128">
        <f t="shared" si="22"/>
        <v>2893.2546072447503</v>
      </c>
      <c r="I46" s="1128">
        <f t="shared" si="22"/>
        <v>2928.7363165671977</v>
      </c>
      <c r="J46" s="1128">
        <f t="shared" si="22"/>
        <v>2964.5728429828696</v>
      </c>
      <c r="K46" s="1128">
        <f t="shared" si="22"/>
        <v>3000.7677346626988</v>
      </c>
      <c r="L46" s="1128">
        <f t="shared" si="22"/>
        <v>3037.3245752593257</v>
      </c>
      <c r="M46" s="1128">
        <f t="shared" si="22"/>
        <v>3074.2469842619184</v>
      </c>
      <c r="N46" s="1128">
        <f t="shared" si="22"/>
        <v>3111.5386173545376</v>
      </c>
      <c r="O46" s="1128">
        <f t="shared" si="22"/>
        <v>3149.203166778083</v>
      </c>
      <c r="P46" s="1128">
        <f t="shared" si="22"/>
        <v>3187.2443616958644</v>
      </c>
      <c r="Q46" s="1128">
        <f t="shared" si="22"/>
        <v>3225.6659685628229</v>
      </c>
      <c r="R46" s="1128">
        <f t="shared" si="22"/>
        <v>3264.4717914984512</v>
      </c>
      <c r="S46" s="1128">
        <f t="shared" si="22"/>
        <v>3303.6656726634365</v>
      </c>
      <c r="T46" s="1128">
        <f t="shared" si="22"/>
        <v>3343.2514926400709</v>
      </c>
      <c r="U46" s="1128">
        <f t="shared" si="22"/>
        <v>3383.2331708164711</v>
      </c>
      <c r="V46" s="1128">
        <f t="shared" si="22"/>
        <v>3423.6146657746358</v>
      </c>
      <c r="W46" s="1128">
        <f t="shared" si="22"/>
        <v>3464.3999756823823</v>
      </c>
      <c r="X46" s="1128">
        <f t="shared" si="22"/>
        <v>3505.5931386892062</v>
      </c>
      <c r="Y46" s="1128">
        <f t="shared" si="22"/>
        <v>3547.1982333260985</v>
      </c>
      <c r="Z46" s="1128">
        <f t="shared" si="22"/>
        <v>3589.2193789093599</v>
      </c>
      <c r="AA46" s="1128">
        <f t="shared" si="22"/>
        <v>3631.6607359484533</v>
      </c>
      <c r="AB46" s="1128">
        <f t="shared" si="22"/>
        <v>3674.5265065579379</v>
      </c>
    </row>
    <row r="47" spans="1:28" x14ac:dyDescent="0.25">
      <c r="A47" s="766" t="s">
        <v>282</v>
      </c>
      <c r="B47" s="768"/>
      <c r="C47" s="768"/>
      <c r="D47" s="768"/>
      <c r="E47" s="1128">
        <f>+E21</f>
        <v>654.91632499999992</v>
      </c>
      <c r="F47" s="1128">
        <f t="shared" ref="F47:AB47" si="23">+F21</f>
        <v>654.91632499999992</v>
      </c>
      <c r="G47" s="1128">
        <f t="shared" si="23"/>
        <v>654.91632499999992</v>
      </c>
      <c r="H47" s="1128">
        <f t="shared" si="23"/>
        <v>654.91632499999992</v>
      </c>
      <c r="I47" s="1128">
        <f t="shared" si="23"/>
        <v>654.91632499999992</v>
      </c>
      <c r="J47" s="1128">
        <f t="shared" si="23"/>
        <v>654.91632499999992</v>
      </c>
      <c r="K47" s="1128">
        <f t="shared" si="23"/>
        <v>654.91632499999992</v>
      </c>
      <c r="L47" s="1128">
        <f t="shared" si="23"/>
        <v>654.91632499999992</v>
      </c>
      <c r="M47" s="1128">
        <f t="shared" si="23"/>
        <v>654.91632499999992</v>
      </c>
      <c r="N47" s="1128">
        <f t="shared" si="23"/>
        <v>654.91632499999992</v>
      </c>
      <c r="O47" s="1128">
        <f t="shared" si="23"/>
        <v>654.91632499999992</v>
      </c>
      <c r="P47" s="1128">
        <f t="shared" si="23"/>
        <v>654.91632499999992</v>
      </c>
      <c r="Q47" s="1128">
        <f t="shared" si="23"/>
        <v>654.91632499999992</v>
      </c>
      <c r="R47" s="1128">
        <f t="shared" si="23"/>
        <v>654.91632499999992</v>
      </c>
      <c r="S47" s="1128">
        <f t="shared" si="23"/>
        <v>654.91632499999992</v>
      </c>
      <c r="T47" s="1128">
        <f t="shared" si="23"/>
        <v>654.91632499999992</v>
      </c>
      <c r="U47" s="1128">
        <f t="shared" si="23"/>
        <v>654.91632499999992</v>
      </c>
      <c r="V47" s="1128">
        <f t="shared" si="23"/>
        <v>654.91632499999992</v>
      </c>
      <c r="W47" s="1128">
        <f t="shared" si="23"/>
        <v>654.91632499999992</v>
      </c>
      <c r="X47" s="1128">
        <f t="shared" si="23"/>
        <v>654.91632499999992</v>
      </c>
      <c r="Y47" s="1128">
        <f t="shared" si="23"/>
        <v>654.91632499999992</v>
      </c>
      <c r="Z47" s="1128">
        <f t="shared" si="23"/>
        <v>654.91632499999992</v>
      </c>
      <c r="AA47" s="1128">
        <f t="shared" si="23"/>
        <v>654.91632499999992</v>
      </c>
      <c r="AB47" s="1128">
        <f t="shared" si="23"/>
        <v>654.91632499999992</v>
      </c>
    </row>
    <row r="48" spans="1:28" x14ac:dyDescent="0.25">
      <c r="A48" s="766" t="s">
        <v>283</v>
      </c>
      <c r="B48" s="768"/>
      <c r="C48" s="768"/>
      <c r="D48" s="768"/>
      <c r="E48" s="1128">
        <f>+D8-E8</f>
        <v>-1092.807499999999</v>
      </c>
      <c r="F48" s="1128">
        <f t="shared" ref="F48:AB48" si="24">+E8-F8</f>
        <v>-1092.807499999999</v>
      </c>
      <c r="G48" s="1128">
        <f t="shared" si="24"/>
        <v>-1092.807499999999</v>
      </c>
      <c r="H48" s="1128">
        <f t="shared" si="24"/>
        <v>-1092.807499999999</v>
      </c>
      <c r="I48" s="1128">
        <f t="shared" si="24"/>
        <v>-1092.807499999999</v>
      </c>
      <c r="J48" s="1128">
        <f t="shared" si="24"/>
        <v>-1092.807499999999</v>
      </c>
      <c r="K48" s="1128">
        <f t="shared" si="24"/>
        <v>-1092.807499999999</v>
      </c>
      <c r="L48" s="1128">
        <f t="shared" si="24"/>
        <v>-1092.807499999999</v>
      </c>
      <c r="M48" s="1128">
        <f t="shared" si="24"/>
        <v>-1092.807499999999</v>
      </c>
      <c r="N48" s="1128">
        <f t="shared" si="24"/>
        <v>-1092.807499999999</v>
      </c>
      <c r="O48" s="1128">
        <f t="shared" si="24"/>
        <v>-1092.807499999999</v>
      </c>
      <c r="P48" s="1128">
        <f t="shared" si="24"/>
        <v>-1092.807499999999</v>
      </c>
      <c r="Q48" s="1128">
        <f t="shared" si="24"/>
        <v>-1092.807499999999</v>
      </c>
      <c r="R48" s="1128">
        <f t="shared" si="24"/>
        <v>-1092.807499999999</v>
      </c>
      <c r="S48" s="1128">
        <f t="shared" si="24"/>
        <v>-1092.807499999999</v>
      </c>
      <c r="T48" s="1128">
        <f t="shared" si="24"/>
        <v>-1092.807499999999</v>
      </c>
      <c r="U48" s="1128">
        <f t="shared" si="24"/>
        <v>-1092.807499999999</v>
      </c>
      <c r="V48" s="1128">
        <f t="shared" si="24"/>
        <v>-1092.807499999999</v>
      </c>
      <c r="W48" s="1128">
        <f t="shared" si="24"/>
        <v>-1092.807499999999</v>
      </c>
      <c r="X48" s="1128">
        <f t="shared" si="24"/>
        <v>-1092.807499999999</v>
      </c>
      <c r="Y48" s="1128">
        <f t="shared" si="24"/>
        <v>-1092.807499999999</v>
      </c>
      <c r="Z48" s="1128">
        <f t="shared" si="24"/>
        <v>-1092.807499999999</v>
      </c>
      <c r="AA48" s="1128">
        <f t="shared" si="24"/>
        <v>-1092.8075000000026</v>
      </c>
      <c r="AB48" s="1128">
        <f t="shared" si="24"/>
        <v>-1092.8075000000026</v>
      </c>
    </row>
    <row r="49" spans="1:28" x14ac:dyDescent="0.25">
      <c r="A49" s="766" t="s">
        <v>284</v>
      </c>
      <c r="B49" s="768"/>
      <c r="C49" s="768"/>
      <c r="D49" s="768"/>
      <c r="E49" s="1128">
        <f>+D7-E7</f>
        <v>-171.8304375000007</v>
      </c>
      <c r="F49" s="1128">
        <f t="shared" ref="F49:AB49" si="25">+E7-F7</f>
        <v>-171.8304375000007</v>
      </c>
      <c r="G49" s="1128">
        <f t="shared" si="25"/>
        <v>-171.8304375000007</v>
      </c>
      <c r="H49" s="1128">
        <f t="shared" si="25"/>
        <v>-171.8304375000007</v>
      </c>
      <c r="I49" s="1128">
        <f t="shared" si="25"/>
        <v>-171.8304375000007</v>
      </c>
      <c r="J49" s="1128">
        <f t="shared" si="25"/>
        <v>-171.8304375000007</v>
      </c>
      <c r="K49" s="1128">
        <f t="shared" si="25"/>
        <v>-171.8304375000007</v>
      </c>
      <c r="L49" s="1128">
        <f t="shared" si="25"/>
        <v>-171.8304375000007</v>
      </c>
      <c r="M49" s="1128">
        <f t="shared" si="25"/>
        <v>-171.8304375000007</v>
      </c>
      <c r="N49" s="1128">
        <f t="shared" si="25"/>
        <v>-171.8304375000007</v>
      </c>
      <c r="O49" s="1128">
        <f t="shared" si="25"/>
        <v>-171.8304375000007</v>
      </c>
      <c r="P49" s="1128">
        <f t="shared" si="25"/>
        <v>-171.8304375000007</v>
      </c>
      <c r="Q49" s="1128">
        <f t="shared" si="25"/>
        <v>-171.8304375000007</v>
      </c>
      <c r="R49" s="1128">
        <f t="shared" si="25"/>
        <v>-171.8304375000007</v>
      </c>
      <c r="S49" s="1128">
        <f t="shared" si="25"/>
        <v>-171.8304375000007</v>
      </c>
      <c r="T49" s="1128">
        <f t="shared" si="25"/>
        <v>-171.8304375000007</v>
      </c>
      <c r="U49" s="1128">
        <f t="shared" si="25"/>
        <v>-171.8304375000007</v>
      </c>
      <c r="V49" s="1128">
        <f t="shared" si="25"/>
        <v>-171.8304375000007</v>
      </c>
      <c r="W49" s="1128">
        <f t="shared" si="25"/>
        <v>-171.8304375000007</v>
      </c>
      <c r="X49" s="1128">
        <f t="shared" si="25"/>
        <v>-171.8304375000007</v>
      </c>
      <c r="Y49" s="1128">
        <f t="shared" si="25"/>
        <v>-171.8304375000007</v>
      </c>
      <c r="Z49" s="1128">
        <f t="shared" si="25"/>
        <v>-171.8304375000007</v>
      </c>
      <c r="AA49" s="1128">
        <f t="shared" si="25"/>
        <v>-171.8304375000007</v>
      </c>
      <c r="AB49" s="1128">
        <f t="shared" si="25"/>
        <v>-171.8304375000007</v>
      </c>
    </row>
    <row r="50" spans="1:28" x14ac:dyDescent="0.25">
      <c r="A50" s="1407" t="s">
        <v>285</v>
      </c>
      <c r="B50" s="1408"/>
      <c r="C50" s="1408"/>
      <c r="D50" s="1408"/>
      <c r="E50" s="1409">
        <f t="shared" ref="E50:Q50" si="26">SUM(E46:E49)</f>
        <v>2179.1818125000009</v>
      </c>
      <c r="F50" s="1409">
        <f t="shared" si="26"/>
        <v>2213.6200100000005</v>
      </c>
      <c r="G50" s="1409">
        <f t="shared" si="26"/>
        <v>2248.4025894750012</v>
      </c>
      <c r="H50" s="1409">
        <f t="shared" si="26"/>
        <v>2283.5329947447508</v>
      </c>
      <c r="I50" s="1409">
        <f t="shared" si="26"/>
        <v>2319.0147040671982</v>
      </c>
      <c r="J50" s="1409">
        <f t="shared" si="26"/>
        <v>2354.8512304828701</v>
      </c>
      <c r="K50" s="1409">
        <f t="shared" si="26"/>
        <v>2391.0461221626992</v>
      </c>
      <c r="L50" s="1409">
        <f t="shared" si="26"/>
        <v>2427.6029627593261</v>
      </c>
      <c r="M50" s="1409">
        <f t="shared" si="26"/>
        <v>2464.5253717619189</v>
      </c>
      <c r="N50" s="1409">
        <f t="shared" si="26"/>
        <v>2501.817004854538</v>
      </c>
      <c r="O50" s="1409">
        <f t="shared" si="26"/>
        <v>2539.4815542780834</v>
      </c>
      <c r="P50" s="1409">
        <f t="shared" si="26"/>
        <v>2577.5227491958649</v>
      </c>
      <c r="Q50" s="1409">
        <f t="shared" si="26"/>
        <v>2615.9443560628233</v>
      </c>
      <c r="R50" s="1409">
        <f t="shared" ref="R50:AB50" si="27">SUM(R46:R49)</f>
        <v>2654.7501789984517</v>
      </c>
      <c r="S50" s="1409">
        <f t="shared" si="27"/>
        <v>2693.9440601634369</v>
      </c>
      <c r="T50" s="1409">
        <f t="shared" si="27"/>
        <v>2733.5298801400713</v>
      </c>
      <c r="U50" s="1409">
        <f t="shared" si="27"/>
        <v>2773.5115583164716</v>
      </c>
      <c r="V50" s="1409">
        <f t="shared" si="27"/>
        <v>2813.8930532746363</v>
      </c>
      <c r="W50" s="1409">
        <f t="shared" si="27"/>
        <v>2854.6783631823828</v>
      </c>
      <c r="X50" s="1409">
        <f t="shared" si="27"/>
        <v>2895.8715261892066</v>
      </c>
      <c r="Y50" s="1409">
        <f t="shared" si="27"/>
        <v>2937.476620826099</v>
      </c>
      <c r="Z50" s="1409">
        <f t="shared" si="27"/>
        <v>2979.4977664093603</v>
      </c>
      <c r="AA50" s="1409">
        <f t="shared" si="27"/>
        <v>3021.9391234484501</v>
      </c>
      <c r="AB50" s="1409">
        <f t="shared" si="27"/>
        <v>3064.8048940579347</v>
      </c>
    </row>
    <row r="51" spans="1:28" ht="16.5" thickBot="1" x14ac:dyDescent="0.3">
      <c r="A51" s="766" t="s">
        <v>286</v>
      </c>
      <c r="B51" s="768"/>
      <c r="C51" s="1128" t="s">
        <v>331</v>
      </c>
      <c r="D51" s="768"/>
      <c r="E51" s="1128">
        <f>-E46*E30</f>
        <v>-976.11619875000008</v>
      </c>
      <c r="F51" s="1128">
        <f t="shared" ref="F51:AB51" si="28">-F46*F30</f>
        <v>-988.16956787499998</v>
      </c>
      <c r="G51" s="1128">
        <f t="shared" si="28"/>
        <v>-1000.3434706912502</v>
      </c>
      <c r="H51" s="1128">
        <f t="shared" si="28"/>
        <v>-1012.6391125356625</v>
      </c>
      <c r="I51" s="1128">
        <f t="shared" si="28"/>
        <v>-1025.0577107985191</v>
      </c>
      <c r="J51" s="1128">
        <f t="shared" si="28"/>
        <v>-1037.6004950440042</v>
      </c>
      <c r="K51" s="1128">
        <f t="shared" si="28"/>
        <v>-1050.2687071319444</v>
      </c>
      <c r="L51" s="1128">
        <f t="shared" si="28"/>
        <v>-1063.0636013407639</v>
      </c>
      <c r="M51" s="1128">
        <f t="shared" si="28"/>
        <v>-1075.9864444916714</v>
      </c>
      <c r="N51" s="1128">
        <f t="shared" si="28"/>
        <v>-1089.038516074088</v>
      </c>
      <c r="O51" s="1128">
        <f t="shared" si="28"/>
        <v>-1102.2211083723289</v>
      </c>
      <c r="P51" s="1128">
        <f t="shared" si="28"/>
        <v>-1115.5355265935525</v>
      </c>
      <c r="Q51" s="1128">
        <f t="shared" si="28"/>
        <v>-1128.9830889969878</v>
      </c>
      <c r="R51" s="1128">
        <f t="shared" si="28"/>
        <v>-1142.5651270244578</v>
      </c>
      <c r="S51" s="1128">
        <f t="shared" si="28"/>
        <v>-1156.2829854322026</v>
      </c>
      <c r="T51" s="1128">
        <f t="shared" si="28"/>
        <v>-1170.1380224240247</v>
      </c>
      <c r="U51" s="1128">
        <f t="shared" si="28"/>
        <v>-1184.1316097857648</v>
      </c>
      <c r="V51" s="1128">
        <f t="shared" si="28"/>
        <v>-1198.2651330211224</v>
      </c>
      <c r="W51" s="1128">
        <f t="shared" si="28"/>
        <v>-1212.5399914888337</v>
      </c>
      <c r="X51" s="1128">
        <f t="shared" si="28"/>
        <v>-1226.9575985412221</v>
      </c>
      <c r="Y51" s="1128">
        <f t="shared" si="28"/>
        <v>-1241.5193816641345</v>
      </c>
      <c r="Z51" s="1128">
        <f t="shared" si="28"/>
        <v>-1256.2267826182758</v>
      </c>
      <c r="AA51" s="1128">
        <f t="shared" si="28"/>
        <v>-1271.0812575819587</v>
      </c>
      <c r="AB51" s="1128">
        <f t="shared" si="28"/>
        <v>-1286.0842772952781</v>
      </c>
    </row>
    <row r="52" spans="1:28" ht="16.5" thickBot="1" x14ac:dyDescent="0.3">
      <c r="A52" s="1410" t="s">
        <v>287</v>
      </c>
      <c r="B52" s="1411"/>
      <c r="C52" s="1411"/>
      <c r="D52" s="1411"/>
      <c r="E52" s="1412">
        <f t="shared" ref="E52:AB52" si="29">+E50+E51</f>
        <v>1203.0656137500009</v>
      </c>
      <c r="F52" s="1412">
        <f t="shared" si="29"/>
        <v>1225.4504421250006</v>
      </c>
      <c r="G52" s="1412">
        <f t="shared" si="29"/>
        <v>1248.0591187837508</v>
      </c>
      <c r="H52" s="1412">
        <f t="shared" si="29"/>
        <v>1270.8938822090881</v>
      </c>
      <c r="I52" s="1412">
        <f t="shared" si="29"/>
        <v>1293.9569932686791</v>
      </c>
      <c r="J52" s="1412">
        <f t="shared" si="29"/>
        <v>1317.2507354388658</v>
      </c>
      <c r="K52" s="1412">
        <f t="shared" si="29"/>
        <v>1340.7774150307548</v>
      </c>
      <c r="L52" s="1412">
        <f t="shared" si="29"/>
        <v>1364.5393614185623</v>
      </c>
      <c r="M52" s="1412">
        <f t="shared" si="29"/>
        <v>1388.5389272702475</v>
      </c>
      <c r="N52" s="1412">
        <f t="shared" si="29"/>
        <v>1412.7784887804501</v>
      </c>
      <c r="O52" s="1412">
        <f t="shared" si="29"/>
        <v>1437.2604459057545</v>
      </c>
      <c r="P52" s="1412">
        <f t="shared" si="29"/>
        <v>1461.9872226023124</v>
      </c>
      <c r="Q52" s="1412">
        <f t="shared" si="29"/>
        <v>1486.9612670658355</v>
      </c>
      <c r="R52" s="1412">
        <f t="shared" si="29"/>
        <v>1512.185051973994</v>
      </c>
      <c r="S52" s="1412">
        <f t="shared" si="29"/>
        <v>1537.6610747312343</v>
      </c>
      <c r="T52" s="1412">
        <f t="shared" si="29"/>
        <v>1563.3918577160466</v>
      </c>
      <c r="U52" s="1412">
        <f t="shared" si="29"/>
        <v>1589.3799485307068</v>
      </c>
      <c r="V52" s="1412">
        <f t="shared" si="29"/>
        <v>1615.6279202535138</v>
      </c>
      <c r="W52" s="1412">
        <f t="shared" si="29"/>
        <v>1642.1383716935491</v>
      </c>
      <c r="X52" s="1412">
        <f t="shared" si="29"/>
        <v>1668.9139276479846</v>
      </c>
      <c r="Y52" s="1412">
        <f t="shared" si="29"/>
        <v>1695.9572391619645</v>
      </c>
      <c r="Z52" s="1412">
        <f t="shared" si="29"/>
        <v>1723.2709837910845</v>
      </c>
      <c r="AA52" s="1412">
        <f t="shared" si="29"/>
        <v>1750.8578658664915</v>
      </c>
      <c r="AB52" s="1412">
        <f t="shared" si="29"/>
        <v>1778.7206167626566</v>
      </c>
    </row>
    <row r="53" spans="1:28" ht="16.5" thickBot="1" x14ac:dyDescent="0.3">
      <c r="A53" s="1413" t="s">
        <v>1268</v>
      </c>
      <c r="B53" s="1413"/>
      <c r="C53" s="1414" t="s">
        <v>332</v>
      </c>
      <c r="D53" s="1415"/>
      <c r="E53" s="1414">
        <f t="shared" ref="E53:AB53" si="30">+D14*E37*E30</f>
        <v>421.96765520000002</v>
      </c>
      <c r="F53" s="1414">
        <f t="shared" si="30"/>
        <v>436.72136900000004</v>
      </c>
      <c r="G53" s="1414">
        <f t="shared" si="30"/>
        <v>451.4750828</v>
      </c>
      <c r="H53" s="1414">
        <f t="shared" si="30"/>
        <v>466.22879660000001</v>
      </c>
      <c r="I53" s="1414">
        <f t="shared" si="30"/>
        <v>480.98251039999997</v>
      </c>
      <c r="J53" s="1414">
        <f t="shared" si="30"/>
        <v>495.73622419999998</v>
      </c>
      <c r="K53" s="1414">
        <f t="shared" si="30"/>
        <v>510.48993800000005</v>
      </c>
      <c r="L53" s="1414">
        <f t="shared" si="30"/>
        <v>525.24365180000007</v>
      </c>
      <c r="M53" s="1414">
        <f t="shared" si="30"/>
        <v>539.99736560000008</v>
      </c>
      <c r="N53" s="1414">
        <f t="shared" si="30"/>
        <v>554.75107939999998</v>
      </c>
      <c r="O53" s="1414">
        <f t="shared" si="30"/>
        <v>569.50479319999999</v>
      </c>
      <c r="P53" s="1414">
        <f t="shared" si="30"/>
        <v>584.25850700000001</v>
      </c>
      <c r="Q53" s="1414">
        <f t="shared" si="30"/>
        <v>599.01222080000002</v>
      </c>
      <c r="R53" s="1414">
        <f t="shared" si="30"/>
        <v>613.76593460000004</v>
      </c>
      <c r="S53" s="1414">
        <f t="shared" si="30"/>
        <v>628.51964839999994</v>
      </c>
      <c r="T53" s="1414">
        <f t="shared" si="30"/>
        <v>643.27336220000007</v>
      </c>
      <c r="U53" s="1414">
        <f t="shared" si="30"/>
        <v>658.02707600000008</v>
      </c>
      <c r="V53" s="1414">
        <f t="shared" si="30"/>
        <v>672.78078979999998</v>
      </c>
      <c r="W53" s="1414">
        <f t="shared" si="30"/>
        <v>687.53450359999999</v>
      </c>
      <c r="X53" s="1414">
        <f t="shared" si="30"/>
        <v>702.28821740000001</v>
      </c>
      <c r="Y53" s="1414">
        <f t="shared" si="30"/>
        <v>717.04193120000002</v>
      </c>
      <c r="Z53" s="1414">
        <f t="shared" si="30"/>
        <v>731.79564500000004</v>
      </c>
      <c r="AA53" s="1414">
        <f t="shared" si="30"/>
        <v>746.54935879999994</v>
      </c>
      <c r="AB53" s="1414">
        <f t="shared" si="30"/>
        <v>761.30307259999995</v>
      </c>
    </row>
    <row r="54" spans="1:28" ht="16.5" thickBot="1" x14ac:dyDescent="0.3">
      <c r="A54" s="1416" t="s">
        <v>289</v>
      </c>
      <c r="B54" s="1417"/>
      <c r="C54" s="1417"/>
      <c r="D54" s="1418"/>
      <c r="E54" s="1412">
        <f>+E52+E53</f>
        <v>1625.033268950001</v>
      </c>
      <c r="F54" s="1412">
        <f t="shared" ref="F54:AA54" si="31">+F52+F53</f>
        <v>1662.1718111250007</v>
      </c>
      <c r="G54" s="1412">
        <f t="shared" si="31"/>
        <v>1699.5342015837509</v>
      </c>
      <c r="H54" s="1412">
        <f t="shared" si="31"/>
        <v>1737.122678809088</v>
      </c>
      <c r="I54" s="1412">
        <f t="shared" si="31"/>
        <v>1774.939503668679</v>
      </c>
      <c r="J54" s="1412">
        <f t="shared" si="31"/>
        <v>1812.9869596388658</v>
      </c>
      <c r="K54" s="1412">
        <f t="shared" si="31"/>
        <v>1851.2673530307547</v>
      </c>
      <c r="L54" s="1412">
        <f t="shared" si="31"/>
        <v>1889.7830132185622</v>
      </c>
      <c r="M54" s="1412">
        <f t="shared" si="31"/>
        <v>1928.5362928702475</v>
      </c>
      <c r="N54" s="1412">
        <f t="shared" si="31"/>
        <v>1967.52956818045</v>
      </c>
      <c r="O54" s="1412">
        <f t="shared" si="31"/>
        <v>2006.7652391057545</v>
      </c>
      <c r="P54" s="1412">
        <f t="shared" si="31"/>
        <v>2046.2457296023124</v>
      </c>
      <c r="Q54" s="1412">
        <f t="shared" si="31"/>
        <v>2085.9734878658355</v>
      </c>
      <c r="R54" s="1412">
        <f t="shared" si="31"/>
        <v>2125.9509865739938</v>
      </c>
      <c r="S54" s="1412">
        <f t="shared" si="31"/>
        <v>2166.1807231312341</v>
      </c>
      <c r="T54" s="1412">
        <f t="shared" si="31"/>
        <v>2206.6652199160467</v>
      </c>
      <c r="U54" s="1412">
        <f t="shared" si="31"/>
        <v>2247.4070245307066</v>
      </c>
      <c r="V54" s="1412">
        <f t="shared" si="31"/>
        <v>2288.4087100535139</v>
      </c>
      <c r="W54" s="1412">
        <f t="shared" si="31"/>
        <v>2329.6728752935492</v>
      </c>
      <c r="X54" s="1412">
        <f t="shared" si="31"/>
        <v>2371.2021450479847</v>
      </c>
      <c r="Y54" s="1412">
        <f t="shared" si="31"/>
        <v>2412.9991703619644</v>
      </c>
      <c r="Z54" s="1412">
        <f t="shared" si="31"/>
        <v>2455.0666287910844</v>
      </c>
      <c r="AA54" s="1412">
        <f t="shared" si="31"/>
        <v>2497.4072246664914</v>
      </c>
      <c r="AB54" s="1412">
        <f>+AB52+AB53</f>
        <v>2540.0236893626566</v>
      </c>
    </row>
    <row r="56" spans="1:28" x14ac:dyDescent="0.25">
      <c r="A56" s="766" t="s">
        <v>290</v>
      </c>
      <c r="B56" s="768"/>
      <c r="C56" s="768"/>
      <c r="D56" s="768"/>
      <c r="E56" s="1128">
        <f t="shared" ref="E56:AB56" si="32">+E26</f>
        <v>1314.4409175625001</v>
      </c>
      <c r="F56" s="1128">
        <f t="shared" si="32"/>
        <v>1319.7008995625001</v>
      </c>
      <c r="G56" s="1128">
        <f t="shared" si="32"/>
        <v>1325.1847298462503</v>
      </c>
      <c r="H56" s="1128">
        <f t="shared" si="32"/>
        <v>1330.8946468965878</v>
      </c>
      <c r="I56" s="1128">
        <f t="shared" si="32"/>
        <v>1336.8329115811787</v>
      </c>
      <c r="J56" s="1128">
        <f t="shared" si="32"/>
        <v>1343.0018073763652</v>
      </c>
      <c r="K56" s="1128">
        <f t="shared" si="32"/>
        <v>1349.4036405932543</v>
      </c>
      <c r="L56" s="1128">
        <f t="shared" si="32"/>
        <v>1356.0407406060617</v>
      </c>
      <c r="M56" s="1128">
        <f t="shared" si="32"/>
        <v>1362.9154600827469</v>
      </c>
      <c r="N56" s="1128">
        <f t="shared" si="32"/>
        <v>1370.0301752179496</v>
      </c>
      <c r="O56" s="1128">
        <f t="shared" si="32"/>
        <v>1373.9717215826288</v>
      </c>
      <c r="P56" s="1128">
        <f t="shared" si="32"/>
        <v>1378.2161425859558</v>
      </c>
      <c r="Q56" s="1128">
        <f t="shared" si="32"/>
        <v>1382.7664669743149</v>
      </c>
      <c r="R56" s="1128">
        <f t="shared" si="32"/>
        <v>1387.6257537815586</v>
      </c>
      <c r="S56" s="1128">
        <f t="shared" si="32"/>
        <v>1392.7970926318749</v>
      </c>
      <c r="T56" s="1128">
        <f t="shared" si="32"/>
        <v>1398.2836040456937</v>
      </c>
      <c r="U56" s="1128">
        <f t="shared" si="32"/>
        <v>1404.0884397486502</v>
      </c>
      <c r="V56" s="1128">
        <f t="shared" si="32"/>
        <v>1410.2147829836363</v>
      </c>
      <c r="W56" s="1128">
        <f t="shared" si="32"/>
        <v>1416.6658488259732</v>
      </c>
      <c r="X56" s="1128">
        <f t="shared" si="32"/>
        <v>1423.444884501733</v>
      </c>
      <c r="Y56" s="1128">
        <f t="shared" si="32"/>
        <v>1430.5551697092503</v>
      </c>
      <c r="Z56" s="1128">
        <f t="shared" si="32"/>
        <v>1438.0000169438435</v>
      </c>
      <c r="AA56" s="1128">
        <f t="shared" si="32"/>
        <v>1445.7827718257813</v>
      </c>
      <c r="AB56" s="1128">
        <f t="shared" si="32"/>
        <v>1453.9068134315394</v>
      </c>
    </row>
    <row r="57" spans="1:28" x14ac:dyDescent="0.25">
      <c r="A57" s="766" t="s">
        <v>282</v>
      </c>
      <c r="B57" s="768"/>
      <c r="C57" s="768"/>
      <c r="D57" s="768"/>
      <c r="E57" s="1128">
        <f t="shared" ref="E57:AB57" si="33">+E21</f>
        <v>654.91632499999992</v>
      </c>
      <c r="F57" s="1128">
        <f t="shared" si="33"/>
        <v>654.91632499999992</v>
      </c>
      <c r="G57" s="1128">
        <f t="shared" si="33"/>
        <v>654.91632499999992</v>
      </c>
      <c r="H57" s="1128">
        <f t="shared" si="33"/>
        <v>654.91632499999992</v>
      </c>
      <c r="I57" s="1128">
        <f t="shared" si="33"/>
        <v>654.91632499999992</v>
      </c>
      <c r="J57" s="1128">
        <f t="shared" si="33"/>
        <v>654.91632499999992</v>
      </c>
      <c r="K57" s="1128">
        <f t="shared" si="33"/>
        <v>654.91632499999992</v>
      </c>
      <c r="L57" s="1128">
        <f t="shared" si="33"/>
        <v>654.91632499999992</v>
      </c>
      <c r="M57" s="1128">
        <f t="shared" si="33"/>
        <v>654.91632499999992</v>
      </c>
      <c r="N57" s="1128">
        <f t="shared" si="33"/>
        <v>654.91632499999992</v>
      </c>
      <c r="O57" s="1128">
        <f t="shared" si="33"/>
        <v>654.91632499999992</v>
      </c>
      <c r="P57" s="1128">
        <f t="shared" si="33"/>
        <v>654.91632499999992</v>
      </c>
      <c r="Q57" s="1128">
        <f t="shared" si="33"/>
        <v>654.91632499999992</v>
      </c>
      <c r="R57" s="1128">
        <f t="shared" si="33"/>
        <v>654.91632499999992</v>
      </c>
      <c r="S57" s="1128">
        <f t="shared" si="33"/>
        <v>654.91632499999992</v>
      </c>
      <c r="T57" s="1128">
        <f t="shared" si="33"/>
        <v>654.91632499999992</v>
      </c>
      <c r="U57" s="1128">
        <f t="shared" si="33"/>
        <v>654.91632499999992</v>
      </c>
      <c r="V57" s="1128">
        <f t="shared" si="33"/>
        <v>654.91632499999992</v>
      </c>
      <c r="W57" s="1128">
        <f t="shared" si="33"/>
        <v>654.91632499999992</v>
      </c>
      <c r="X57" s="1128">
        <f t="shared" si="33"/>
        <v>654.91632499999992</v>
      </c>
      <c r="Y57" s="1128">
        <f t="shared" si="33"/>
        <v>654.91632499999992</v>
      </c>
      <c r="Z57" s="1128">
        <f t="shared" si="33"/>
        <v>654.91632499999992</v>
      </c>
      <c r="AA57" s="1128">
        <f t="shared" si="33"/>
        <v>654.91632499999992</v>
      </c>
      <c r="AB57" s="1128">
        <f t="shared" si="33"/>
        <v>654.91632499999992</v>
      </c>
    </row>
    <row r="58" spans="1:28" x14ac:dyDescent="0.25">
      <c r="A58" s="766" t="s">
        <v>283</v>
      </c>
      <c r="B58" s="768"/>
      <c r="C58" s="768"/>
      <c r="D58" s="768"/>
      <c r="E58" s="1128">
        <f t="shared" ref="E58:AB58" si="34">-E8+D8</f>
        <v>-1092.807499999999</v>
      </c>
      <c r="F58" s="1128">
        <f t="shared" si="34"/>
        <v>-1092.807499999999</v>
      </c>
      <c r="G58" s="1128">
        <f t="shared" si="34"/>
        <v>-1092.807499999999</v>
      </c>
      <c r="H58" s="1128">
        <f t="shared" si="34"/>
        <v>-1092.807499999999</v>
      </c>
      <c r="I58" s="1128">
        <f t="shared" si="34"/>
        <v>-1092.807499999999</v>
      </c>
      <c r="J58" s="1128">
        <f t="shared" si="34"/>
        <v>-1092.807499999999</v>
      </c>
      <c r="K58" s="1128">
        <f t="shared" si="34"/>
        <v>-1092.807499999999</v>
      </c>
      <c r="L58" s="1128">
        <f t="shared" si="34"/>
        <v>-1092.807499999999</v>
      </c>
      <c r="M58" s="1128">
        <f t="shared" si="34"/>
        <v>-1092.807499999999</v>
      </c>
      <c r="N58" s="1128">
        <f t="shared" si="34"/>
        <v>-1092.807499999999</v>
      </c>
      <c r="O58" s="1128">
        <f t="shared" si="34"/>
        <v>-1092.807499999999</v>
      </c>
      <c r="P58" s="1128">
        <f t="shared" si="34"/>
        <v>-1092.807499999999</v>
      </c>
      <c r="Q58" s="1128">
        <f t="shared" si="34"/>
        <v>-1092.807499999999</v>
      </c>
      <c r="R58" s="1128">
        <f t="shared" si="34"/>
        <v>-1092.807499999999</v>
      </c>
      <c r="S58" s="1128">
        <f t="shared" si="34"/>
        <v>-1092.807499999999</v>
      </c>
      <c r="T58" s="1128">
        <f t="shared" si="34"/>
        <v>-1092.807499999999</v>
      </c>
      <c r="U58" s="1128">
        <f t="shared" si="34"/>
        <v>-1092.807499999999</v>
      </c>
      <c r="V58" s="1128">
        <f t="shared" si="34"/>
        <v>-1092.807499999999</v>
      </c>
      <c r="W58" s="1128">
        <f t="shared" si="34"/>
        <v>-1092.807499999999</v>
      </c>
      <c r="X58" s="1128">
        <f t="shared" si="34"/>
        <v>-1092.807499999999</v>
      </c>
      <c r="Y58" s="1128">
        <f t="shared" si="34"/>
        <v>-1092.807499999999</v>
      </c>
      <c r="Z58" s="1128">
        <f t="shared" si="34"/>
        <v>-1092.807499999999</v>
      </c>
      <c r="AA58" s="1128">
        <f t="shared" si="34"/>
        <v>-1092.8075000000026</v>
      </c>
      <c r="AB58" s="1128">
        <f t="shared" si="34"/>
        <v>-1092.8075000000026</v>
      </c>
    </row>
    <row r="59" spans="1:28" x14ac:dyDescent="0.25">
      <c r="A59" s="766" t="s">
        <v>284</v>
      </c>
      <c r="B59" s="768"/>
      <c r="C59" s="768"/>
      <c r="D59" s="768"/>
      <c r="E59" s="1128">
        <f>+E49</f>
        <v>-171.8304375000007</v>
      </c>
      <c r="F59" s="1128">
        <f t="shared" ref="F59:AB59" si="35">+F49</f>
        <v>-171.8304375000007</v>
      </c>
      <c r="G59" s="1128">
        <f t="shared" si="35"/>
        <v>-171.8304375000007</v>
      </c>
      <c r="H59" s="1128">
        <f t="shared" si="35"/>
        <v>-171.8304375000007</v>
      </c>
      <c r="I59" s="1128">
        <f t="shared" si="35"/>
        <v>-171.8304375000007</v>
      </c>
      <c r="J59" s="1128">
        <f t="shared" si="35"/>
        <v>-171.8304375000007</v>
      </c>
      <c r="K59" s="1128">
        <f t="shared" si="35"/>
        <v>-171.8304375000007</v>
      </c>
      <c r="L59" s="1128">
        <f t="shared" si="35"/>
        <v>-171.8304375000007</v>
      </c>
      <c r="M59" s="1128">
        <f t="shared" si="35"/>
        <v>-171.8304375000007</v>
      </c>
      <c r="N59" s="1128">
        <f t="shared" si="35"/>
        <v>-171.8304375000007</v>
      </c>
      <c r="O59" s="1128">
        <f t="shared" si="35"/>
        <v>-171.8304375000007</v>
      </c>
      <c r="P59" s="1128">
        <f t="shared" si="35"/>
        <v>-171.8304375000007</v>
      </c>
      <c r="Q59" s="1128">
        <f t="shared" si="35"/>
        <v>-171.8304375000007</v>
      </c>
      <c r="R59" s="1128">
        <f t="shared" si="35"/>
        <v>-171.8304375000007</v>
      </c>
      <c r="S59" s="1128">
        <f t="shared" si="35"/>
        <v>-171.8304375000007</v>
      </c>
      <c r="T59" s="1128">
        <f t="shared" si="35"/>
        <v>-171.8304375000007</v>
      </c>
      <c r="U59" s="1128">
        <f t="shared" si="35"/>
        <v>-171.8304375000007</v>
      </c>
      <c r="V59" s="1128">
        <f t="shared" si="35"/>
        <v>-171.8304375000007</v>
      </c>
      <c r="W59" s="1128">
        <f t="shared" si="35"/>
        <v>-171.8304375000007</v>
      </c>
      <c r="X59" s="1128">
        <f t="shared" si="35"/>
        <v>-171.8304375000007</v>
      </c>
      <c r="Y59" s="1128">
        <f t="shared" si="35"/>
        <v>-171.8304375000007</v>
      </c>
      <c r="Z59" s="1128">
        <f t="shared" si="35"/>
        <v>-171.8304375000007</v>
      </c>
      <c r="AA59" s="1128">
        <f t="shared" si="35"/>
        <v>-171.8304375000007</v>
      </c>
      <c r="AB59" s="1128">
        <f t="shared" si="35"/>
        <v>-171.8304375000007</v>
      </c>
    </row>
    <row r="60" spans="1:28" ht="16.5" thickBot="1" x14ac:dyDescent="0.3">
      <c r="A60" s="766" t="s">
        <v>291</v>
      </c>
      <c r="B60" s="768"/>
      <c r="C60" s="768"/>
      <c r="D60" s="768"/>
      <c r="E60" s="1128">
        <f t="shared" ref="E60:AB60" si="36">+E14-D14</f>
        <v>376.37024999999994</v>
      </c>
      <c r="F60" s="1128">
        <f t="shared" si="36"/>
        <v>376.37024999999994</v>
      </c>
      <c r="G60" s="1128">
        <f t="shared" si="36"/>
        <v>376.37024999999994</v>
      </c>
      <c r="H60" s="1128">
        <f t="shared" si="36"/>
        <v>376.37024999999994</v>
      </c>
      <c r="I60" s="1128">
        <f t="shared" si="36"/>
        <v>376.37024999999994</v>
      </c>
      <c r="J60" s="1128">
        <f t="shared" si="36"/>
        <v>376.37024999999994</v>
      </c>
      <c r="K60" s="1128">
        <f t="shared" si="36"/>
        <v>376.37024999999994</v>
      </c>
      <c r="L60" s="1128">
        <f t="shared" si="36"/>
        <v>376.37024999999994</v>
      </c>
      <c r="M60" s="1128">
        <f t="shared" si="36"/>
        <v>376.37024999999994</v>
      </c>
      <c r="N60" s="1128">
        <f t="shared" si="36"/>
        <v>376.37024999999994</v>
      </c>
      <c r="O60" s="1128">
        <f t="shared" si="36"/>
        <v>376.37024999999994</v>
      </c>
      <c r="P60" s="1128">
        <f t="shared" si="36"/>
        <v>376.37024999999994</v>
      </c>
      <c r="Q60" s="1128">
        <f t="shared" si="36"/>
        <v>376.37024999999994</v>
      </c>
      <c r="R60" s="1128">
        <f t="shared" si="36"/>
        <v>376.37024999999994</v>
      </c>
      <c r="S60" s="1128">
        <f t="shared" si="36"/>
        <v>376.37024999999994</v>
      </c>
      <c r="T60" s="1128">
        <f t="shared" si="36"/>
        <v>376.37024999999994</v>
      </c>
      <c r="U60" s="1128">
        <f t="shared" si="36"/>
        <v>376.37024999999994</v>
      </c>
      <c r="V60" s="1128">
        <f t="shared" si="36"/>
        <v>376.37024999999994</v>
      </c>
      <c r="W60" s="1128">
        <f t="shared" si="36"/>
        <v>376.37024999999994</v>
      </c>
      <c r="X60" s="1128">
        <f t="shared" si="36"/>
        <v>376.37024999999994</v>
      </c>
      <c r="Y60" s="1128">
        <f t="shared" si="36"/>
        <v>376.37024999999994</v>
      </c>
      <c r="Z60" s="1128">
        <f t="shared" si="36"/>
        <v>376.37024999999994</v>
      </c>
      <c r="AA60" s="1128">
        <f t="shared" si="36"/>
        <v>376.37024999999994</v>
      </c>
      <c r="AB60" s="1128">
        <f t="shared" si="36"/>
        <v>376.37024999999994</v>
      </c>
    </row>
    <row r="61" spans="1:28" ht="16.5" thickBot="1" x14ac:dyDescent="0.3">
      <c r="A61" s="1410" t="s">
        <v>292</v>
      </c>
      <c r="B61" s="1411"/>
      <c r="C61" s="1411"/>
      <c r="D61" s="1411"/>
      <c r="E61" s="1412">
        <f t="shared" ref="E61:AB61" si="37">SUM(E56:E60)</f>
        <v>1081.0895550625003</v>
      </c>
      <c r="F61" s="1412">
        <f t="shared" si="37"/>
        <v>1086.3495370625003</v>
      </c>
      <c r="G61" s="1412">
        <f t="shared" si="37"/>
        <v>1091.8333673462505</v>
      </c>
      <c r="H61" s="1412">
        <f t="shared" si="37"/>
        <v>1097.543284396588</v>
      </c>
      <c r="I61" s="1412">
        <f t="shared" si="37"/>
        <v>1103.4815490811789</v>
      </c>
      <c r="J61" s="1412">
        <f t="shared" si="37"/>
        <v>1109.6504448763653</v>
      </c>
      <c r="K61" s="1412">
        <f t="shared" si="37"/>
        <v>1116.0522780932545</v>
      </c>
      <c r="L61" s="1412">
        <f t="shared" si="37"/>
        <v>1122.6893781060619</v>
      </c>
      <c r="M61" s="1412">
        <f t="shared" si="37"/>
        <v>1129.5640975827471</v>
      </c>
      <c r="N61" s="1412">
        <f t="shared" si="37"/>
        <v>1136.6788127179498</v>
      </c>
      <c r="O61" s="1412">
        <f t="shared" si="37"/>
        <v>1140.620359082629</v>
      </c>
      <c r="P61" s="1412">
        <f t="shared" si="37"/>
        <v>1144.864780085956</v>
      </c>
      <c r="Q61" s="1412">
        <f t="shared" si="37"/>
        <v>1149.4151044743151</v>
      </c>
      <c r="R61" s="1412">
        <f t="shared" si="37"/>
        <v>1154.2743912815588</v>
      </c>
      <c r="S61" s="1412">
        <f t="shared" si="37"/>
        <v>1159.4457301318751</v>
      </c>
      <c r="T61" s="1412">
        <f t="shared" si="37"/>
        <v>1164.9322415456936</v>
      </c>
      <c r="U61" s="1412">
        <f t="shared" si="37"/>
        <v>1170.7370772486502</v>
      </c>
      <c r="V61" s="1412">
        <f t="shared" si="37"/>
        <v>1176.8634204836362</v>
      </c>
      <c r="W61" s="1412">
        <f t="shared" si="37"/>
        <v>1183.3144863259731</v>
      </c>
      <c r="X61" s="1412">
        <f t="shared" si="37"/>
        <v>1190.0935220017332</v>
      </c>
      <c r="Y61" s="1412">
        <f t="shared" si="37"/>
        <v>1197.2038072092505</v>
      </c>
      <c r="Z61" s="1412">
        <f t="shared" si="37"/>
        <v>1204.648654443844</v>
      </c>
      <c r="AA61" s="1412">
        <f t="shared" si="37"/>
        <v>1212.4314093257781</v>
      </c>
      <c r="AB61" s="1419">
        <f t="shared" si="37"/>
        <v>1220.5554509315361</v>
      </c>
    </row>
    <row r="62" spans="1:28" x14ac:dyDescent="0.25">
      <c r="A62" s="766" t="s">
        <v>291</v>
      </c>
      <c r="B62" s="768"/>
      <c r="C62" s="768"/>
      <c r="D62" s="768"/>
      <c r="E62" s="1128">
        <f t="shared" ref="E62:AB62" si="38">-E60</f>
        <v>-376.37024999999994</v>
      </c>
      <c r="F62" s="1128">
        <f t="shared" si="38"/>
        <v>-376.37024999999994</v>
      </c>
      <c r="G62" s="1128">
        <f t="shared" si="38"/>
        <v>-376.37024999999994</v>
      </c>
      <c r="H62" s="1128">
        <f t="shared" si="38"/>
        <v>-376.37024999999994</v>
      </c>
      <c r="I62" s="1128">
        <f t="shared" si="38"/>
        <v>-376.37024999999994</v>
      </c>
      <c r="J62" s="1128">
        <f t="shared" si="38"/>
        <v>-376.37024999999994</v>
      </c>
      <c r="K62" s="1128">
        <f t="shared" si="38"/>
        <v>-376.37024999999994</v>
      </c>
      <c r="L62" s="1128">
        <f t="shared" si="38"/>
        <v>-376.37024999999994</v>
      </c>
      <c r="M62" s="1128">
        <f t="shared" si="38"/>
        <v>-376.37024999999994</v>
      </c>
      <c r="N62" s="1128">
        <f t="shared" si="38"/>
        <v>-376.37024999999994</v>
      </c>
      <c r="O62" s="1128">
        <f t="shared" si="38"/>
        <v>-376.37024999999994</v>
      </c>
      <c r="P62" s="1128">
        <f t="shared" si="38"/>
        <v>-376.37024999999994</v>
      </c>
      <c r="Q62" s="1128">
        <f t="shared" si="38"/>
        <v>-376.37024999999994</v>
      </c>
      <c r="R62" s="1128">
        <f t="shared" si="38"/>
        <v>-376.37024999999994</v>
      </c>
      <c r="S62" s="1128">
        <f t="shared" si="38"/>
        <v>-376.37024999999994</v>
      </c>
      <c r="T62" s="1128">
        <f t="shared" si="38"/>
        <v>-376.37024999999994</v>
      </c>
      <c r="U62" s="1128">
        <f t="shared" si="38"/>
        <v>-376.37024999999994</v>
      </c>
      <c r="V62" s="1128">
        <f t="shared" si="38"/>
        <v>-376.37024999999994</v>
      </c>
      <c r="W62" s="1128">
        <f t="shared" si="38"/>
        <v>-376.37024999999994</v>
      </c>
      <c r="X62" s="1128">
        <f t="shared" si="38"/>
        <v>-376.37024999999994</v>
      </c>
      <c r="Y62" s="1128">
        <f t="shared" si="38"/>
        <v>-376.37024999999994</v>
      </c>
      <c r="Z62" s="1128">
        <f t="shared" si="38"/>
        <v>-376.37024999999994</v>
      </c>
      <c r="AA62" s="1128">
        <f t="shared" si="38"/>
        <v>-376.37024999999994</v>
      </c>
      <c r="AB62" s="1128">
        <f t="shared" si="38"/>
        <v>-376.37024999999994</v>
      </c>
    </row>
    <row r="63" spans="1:28" ht="16.5" thickBot="1" x14ac:dyDescent="0.3">
      <c r="A63" s="766" t="s">
        <v>252</v>
      </c>
      <c r="B63" s="768"/>
      <c r="C63" s="768"/>
      <c r="D63" s="768"/>
      <c r="E63" s="1128">
        <f t="shared" ref="E63:AB63" si="39">+E23</f>
        <v>766.68662875000007</v>
      </c>
      <c r="F63" s="1128">
        <f t="shared" si="39"/>
        <v>793.03254625000011</v>
      </c>
      <c r="G63" s="1128">
        <f t="shared" si="39"/>
        <v>819.37846375000004</v>
      </c>
      <c r="H63" s="1128">
        <f t="shared" si="39"/>
        <v>845.72438125000008</v>
      </c>
      <c r="I63" s="1128">
        <f t="shared" si="39"/>
        <v>872.07029875000001</v>
      </c>
      <c r="J63" s="1128">
        <f t="shared" si="39"/>
        <v>898.41621625000005</v>
      </c>
      <c r="K63" s="1128">
        <f t="shared" si="39"/>
        <v>924.76213375000009</v>
      </c>
      <c r="L63" s="1128">
        <f t="shared" si="39"/>
        <v>951.10805125000002</v>
      </c>
      <c r="M63" s="1128">
        <f t="shared" si="39"/>
        <v>977.45396875000006</v>
      </c>
      <c r="N63" s="1128">
        <f t="shared" si="39"/>
        <v>1003.79988625</v>
      </c>
      <c r="O63" s="1128">
        <f t="shared" si="39"/>
        <v>1030.1458037500001</v>
      </c>
      <c r="P63" s="1128">
        <f t="shared" si="39"/>
        <v>1056.49172125</v>
      </c>
      <c r="Q63" s="1128">
        <f t="shared" si="39"/>
        <v>1082.83763875</v>
      </c>
      <c r="R63" s="1128">
        <f t="shared" si="39"/>
        <v>1109.18355625</v>
      </c>
      <c r="S63" s="1128">
        <f t="shared" si="39"/>
        <v>1135.5294737500001</v>
      </c>
      <c r="T63" s="1128">
        <f t="shared" si="39"/>
        <v>1161.8753912500001</v>
      </c>
      <c r="U63" s="1128">
        <f t="shared" si="39"/>
        <v>1188.2213087499999</v>
      </c>
      <c r="V63" s="1128">
        <f t="shared" si="39"/>
        <v>1214.56722625</v>
      </c>
      <c r="W63" s="1128">
        <f t="shared" si="39"/>
        <v>1240.91314375</v>
      </c>
      <c r="X63" s="1128">
        <f t="shared" si="39"/>
        <v>1267.2590612500001</v>
      </c>
      <c r="Y63" s="1128">
        <f t="shared" si="39"/>
        <v>1293.6049787500001</v>
      </c>
      <c r="Z63" s="1128">
        <f t="shared" si="39"/>
        <v>1319.9508962499999</v>
      </c>
      <c r="AA63" s="1128">
        <f t="shared" si="39"/>
        <v>1346.29681375</v>
      </c>
      <c r="AB63" s="1128">
        <f t="shared" si="39"/>
        <v>1372.64273125</v>
      </c>
    </row>
    <row r="64" spans="1:28" ht="16.5" thickBot="1" x14ac:dyDescent="0.3">
      <c r="A64" s="1410" t="s">
        <v>293</v>
      </c>
      <c r="B64" s="1411"/>
      <c r="C64" s="1411"/>
      <c r="D64" s="1411"/>
      <c r="E64" s="1412">
        <f t="shared" ref="E64:AB64" si="40">SUM(E61:E63)</f>
        <v>1471.4059338125003</v>
      </c>
      <c r="F64" s="1412">
        <f t="shared" si="40"/>
        <v>1503.0118333125006</v>
      </c>
      <c r="G64" s="1412">
        <f t="shared" si="40"/>
        <v>1534.8415810962506</v>
      </c>
      <c r="H64" s="1412">
        <f t="shared" si="40"/>
        <v>1566.8974156465881</v>
      </c>
      <c r="I64" s="1412">
        <f t="shared" si="40"/>
        <v>1599.1815978311788</v>
      </c>
      <c r="J64" s="1412">
        <f t="shared" si="40"/>
        <v>1631.6964111263655</v>
      </c>
      <c r="K64" s="1412">
        <f t="shared" si="40"/>
        <v>1664.4441618432547</v>
      </c>
      <c r="L64" s="1412">
        <f t="shared" si="40"/>
        <v>1697.427179356062</v>
      </c>
      <c r="M64" s="1412">
        <f t="shared" si="40"/>
        <v>1730.6478163327472</v>
      </c>
      <c r="N64" s="1412">
        <f t="shared" si="40"/>
        <v>1764.1084489679497</v>
      </c>
      <c r="O64" s="1412">
        <f t="shared" si="40"/>
        <v>1794.3959128326292</v>
      </c>
      <c r="P64" s="1412">
        <f t="shared" si="40"/>
        <v>1824.986251335956</v>
      </c>
      <c r="Q64" s="1412">
        <f t="shared" si="40"/>
        <v>1855.8824932243151</v>
      </c>
      <c r="R64" s="1412">
        <f t="shared" si="40"/>
        <v>1887.0876975315589</v>
      </c>
      <c r="S64" s="1412">
        <f t="shared" si="40"/>
        <v>1918.6049538818752</v>
      </c>
      <c r="T64" s="1412">
        <f t="shared" si="40"/>
        <v>1950.4373827956938</v>
      </c>
      <c r="U64" s="1412">
        <f t="shared" si="40"/>
        <v>1982.5881359986502</v>
      </c>
      <c r="V64" s="1412">
        <f t="shared" si="40"/>
        <v>2015.0603967336363</v>
      </c>
      <c r="W64" s="1412">
        <f t="shared" si="40"/>
        <v>2047.8573800759732</v>
      </c>
      <c r="X64" s="1412">
        <f t="shared" si="40"/>
        <v>2080.9823332517335</v>
      </c>
      <c r="Y64" s="1412">
        <f t="shared" si="40"/>
        <v>2114.4385359592507</v>
      </c>
      <c r="Z64" s="1412">
        <f t="shared" si="40"/>
        <v>2148.2293006938439</v>
      </c>
      <c r="AA64" s="1412">
        <f t="shared" si="40"/>
        <v>2182.3579730757783</v>
      </c>
      <c r="AB64" s="1419">
        <f t="shared" si="40"/>
        <v>2216.8279321815362</v>
      </c>
    </row>
    <row r="66" spans="1:29" ht="16.5" thickBot="1" x14ac:dyDescent="0.3">
      <c r="A66" s="671"/>
      <c r="B66" s="671"/>
      <c r="C66" s="671"/>
      <c r="D66" s="671"/>
      <c r="E66" s="1420"/>
      <c r="F66" s="671"/>
      <c r="G66" s="671"/>
      <c r="H66" s="671"/>
      <c r="I66" s="671"/>
      <c r="J66" s="671"/>
      <c r="K66" s="671"/>
      <c r="L66" s="671"/>
      <c r="M66" s="671"/>
      <c r="N66" s="671"/>
      <c r="O66" s="671"/>
    </row>
    <row r="67" spans="1:29" x14ac:dyDescent="0.25">
      <c r="A67" s="1304"/>
      <c r="B67" s="1304" t="s">
        <v>294</v>
      </c>
      <c r="C67" s="1304"/>
      <c r="D67" s="1046">
        <v>0</v>
      </c>
      <c r="E67" s="1046">
        <v>1</v>
      </c>
      <c r="F67" s="1046">
        <f t="shared" ref="F67:N67" si="41">E67+1</f>
        <v>2</v>
      </c>
      <c r="G67" s="1046">
        <f t="shared" si="41"/>
        <v>3</v>
      </c>
      <c r="H67" s="1046">
        <f t="shared" si="41"/>
        <v>4</v>
      </c>
      <c r="I67" s="1046">
        <f t="shared" si="41"/>
        <v>5</v>
      </c>
      <c r="J67" s="1046">
        <f t="shared" si="41"/>
        <v>6</v>
      </c>
      <c r="K67" s="1046">
        <f t="shared" si="41"/>
        <v>7</v>
      </c>
      <c r="L67" s="1046">
        <f t="shared" si="41"/>
        <v>8</v>
      </c>
      <c r="M67" s="1046">
        <f t="shared" si="41"/>
        <v>9</v>
      </c>
      <c r="N67" s="1046">
        <f t="shared" si="41"/>
        <v>10</v>
      </c>
      <c r="O67" s="1046">
        <f>N67+1</f>
        <v>11</v>
      </c>
      <c r="P67" s="1046">
        <f t="shared" ref="P67:AB67" si="42">O67+1</f>
        <v>12</v>
      </c>
      <c r="Q67" s="1046">
        <f t="shared" si="42"/>
        <v>13</v>
      </c>
      <c r="R67" s="1046">
        <f t="shared" si="42"/>
        <v>14</v>
      </c>
      <c r="S67" s="1046">
        <f t="shared" si="42"/>
        <v>15</v>
      </c>
      <c r="T67" s="1046">
        <f t="shared" si="42"/>
        <v>16</v>
      </c>
      <c r="U67" s="1046">
        <f t="shared" si="42"/>
        <v>17</v>
      </c>
      <c r="V67" s="1046">
        <f t="shared" si="42"/>
        <v>18</v>
      </c>
      <c r="W67" s="1046">
        <f t="shared" si="42"/>
        <v>19</v>
      </c>
      <c r="X67" s="1046">
        <f t="shared" si="42"/>
        <v>20</v>
      </c>
      <c r="Y67" s="1046">
        <f t="shared" si="42"/>
        <v>21</v>
      </c>
      <c r="Z67" s="1046">
        <f t="shared" si="42"/>
        <v>22</v>
      </c>
      <c r="AA67" s="1046">
        <f t="shared" si="42"/>
        <v>23</v>
      </c>
      <c r="AB67" s="1046">
        <f t="shared" si="42"/>
        <v>24</v>
      </c>
    </row>
    <row r="68" spans="1:29" x14ac:dyDescent="0.25">
      <c r="A68" s="1304"/>
      <c r="B68" s="1304" t="s">
        <v>295</v>
      </c>
      <c r="C68" s="1304"/>
      <c r="D68" s="1421">
        <f>+D54</f>
        <v>0</v>
      </c>
      <c r="E68" s="1421">
        <f t="shared" ref="E68:AB68" si="43">+E54</f>
        <v>1625.033268950001</v>
      </c>
      <c r="F68" s="1421">
        <f t="shared" si="43"/>
        <v>1662.1718111250007</v>
      </c>
      <c r="G68" s="1421">
        <f t="shared" si="43"/>
        <v>1699.5342015837509</v>
      </c>
      <c r="H68" s="1421">
        <f t="shared" si="43"/>
        <v>1737.122678809088</v>
      </c>
      <c r="I68" s="1421">
        <f t="shared" si="43"/>
        <v>1774.939503668679</v>
      </c>
      <c r="J68" s="1421">
        <f t="shared" si="43"/>
        <v>1812.9869596388658</v>
      </c>
      <c r="K68" s="1421">
        <f t="shared" si="43"/>
        <v>1851.2673530307547</v>
      </c>
      <c r="L68" s="1421">
        <f t="shared" si="43"/>
        <v>1889.7830132185622</v>
      </c>
      <c r="M68" s="1421">
        <f t="shared" si="43"/>
        <v>1928.5362928702475</v>
      </c>
      <c r="N68" s="1421">
        <f t="shared" si="43"/>
        <v>1967.52956818045</v>
      </c>
      <c r="O68" s="1421">
        <f t="shared" si="43"/>
        <v>2006.7652391057545</v>
      </c>
      <c r="P68" s="1421">
        <f t="shared" si="43"/>
        <v>2046.2457296023124</v>
      </c>
      <c r="Q68" s="1421">
        <f t="shared" si="43"/>
        <v>2085.9734878658355</v>
      </c>
      <c r="R68" s="1421">
        <f t="shared" si="43"/>
        <v>2125.9509865739938</v>
      </c>
      <c r="S68" s="1421">
        <f t="shared" si="43"/>
        <v>2166.1807231312341</v>
      </c>
      <c r="T68" s="1421">
        <f t="shared" si="43"/>
        <v>2206.6652199160467</v>
      </c>
      <c r="U68" s="1421">
        <f t="shared" si="43"/>
        <v>2247.4070245307066</v>
      </c>
      <c r="V68" s="1421">
        <f t="shared" si="43"/>
        <v>2288.4087100535139</v>
      </c>
      <c r="W68" s="1421">
        <f t="shared" si="43"/>
        <v>2329.6728752935492</v>
      </c>
      <c r="X68" s="1421">
        <f t="shared" si="43"/>
        <v>2371.2021450479847</v>
      </c>
      <c r="Y68" s="1421">
        <f t="shared" si="43"/>
        <v>2412.9991703619644</v>
      </c>
      <c r="Z68" s="1421">
        <f t="shared" si="43"/>
        <v>2455.0666287910844</v>
      </c>
      <c r="AA68" s="1421">
        <f t="shared" si="43"/>
        <v>2497.4072246664914</v>
      </c>
      <c r="AB68" s="1421">
        <f t="shared" si="43"/>
        <v>2540.0236893626566</v>
      </c>
    </row>
    <row r="69" spans="1:29" x14ac:dyDescent="0.25">
      <c r="A69" s="1304"/>
      <c r="B69" s="1304" t="s">
        <v>272</v>
      </c>
      <c r="C69" s="1304"/>
      <c r="D69" s="1422">
        <f>+D37</f>
        <v>0.11200000000000002</v>
      </c>
      <c r="E69" s="1422">
        <f t="shared" ref="E69:AB69" si="44">+E37</f>
        <v>0.11200000000000002</v>
      </c>
      <c r="F69" s="1422">
        <f t="shared" si="44"/>
        <v>0.11200000000000002</v>
      </c>
      <c r="G69" s="1422">
        <f t="shared" si="44"/>
        <v>0.11200000000000002</v>
      </c>
      <c r="H69" s="1422">
        <f t="shared" si="44"/>
        <v>0.11200000000000002</v>
      </c>
      <c r="I69" s="1422">
        <f t="shared" si="44"/>
        <v>0.11200000000000002</v>
      </c>
      <c r="J69" s="1422">
        <f t="shared" si="44"/>
        <v>0.11200000000000002</v>
      </c>
      <c r="K69" s="1422">
        <f t="shared" si="44"/>
        <v>0.11200000000000002</v>
      </c>
      <c r="L69" s="1422">
        <f t="shared" si="44"/>
        <v>0.11200000000000002</v>
      </c>
      <c r="M69" s="1422">
        <f t="shared" si="44"/>
        <v>0.11200000000000002</v>
      </c>
      <c r="N69" s="1422">
        <f t="shared" si="44"/>
        <v>0.11200000000000002</v>
      </c>
      <c r="O69" s="1422">
        <f t="shared" si="44"/>
        <v>0.11200000000000002</v>
      </c>
      <c r="P69" s="1422">
        <f t="shared" si="44"/>
        <v>0.11200000000000002</v>
      </c>
      <c r="Q69" s="1422">
        <f t="shared" si="44"/>
        <v>0.11200000000000002</v>
      </c>
      <c r="R69" s="1422">
        <f t="shared" si="44"/>
        <v>0.11200000000000002</v>
      </c>
      <c r="S69" s="1422">
        <f t="shared" si="44"/>
        <v>0.11200000000000002</v>
      </c>
      <c r="T69" s="1422">
        <f t="shared" si="44"/>
        <v>0.11200000000000002</v>
      </c>
      <c r="U69" s="1422">
        <f t="shared" si="44"/>
        <v>0.11200000000000002</v>
      </c>
      <c r="V69" s="1422">
        <f t="shared" si="44"/>
        <v>0.11200000000000002</v>
      </c>
      <c r="W69" s="1422">
        <f t="shared" si="44"/>
        <v>0.11200000000000002</v>
      </c>
      <c r="X69" s="1422">
        <f t="shared" si="44"/>
        <v>0.11200000000000002</v>
      </c>
      <c r="Y69" s="1422">
        <f t="shared" si="44"/>
        <v>0.11200000000000002</v>
      </c>
      <c r="Z69" s="1422">
        <f t="shared" si="44"/>
        <v>0.11200000000000002</v>
      </c>
      <c r="AA69" s="1422">
        <f t="shared" si="44"/>
        <v>0.11200000000000002</v>
      </c>
      <c r="AB69" s="1422">
        <f t="shared" si="44"/>
        <v>0.11200000000000002</v>
      </c>
      <c r="AC69" s="1422"/>
    </row>
    <row r="70" spans="1:29" x14ac:dyDescent="0.25">
      <c r="A70" s="1304"/>
      <c r="B70" s="1304" t="s">
        <v>296</v>
      </c>
      <c r="C70" s="1304"/>
      <c r="D70" s="1421">
        <f>1/(1+D69)^D67</f>
        <v>1</v>
      </c>
      <c r="E70" s="1423">
        <f>+D70/(1+E69)</f>
        <v>0.89928057553956831</v>
      </c>
      <c r="F70" s="1423">
        <f>+E70/(1+F69)</f>
        <v>0.80870555354277718</v>
      </c>
      <c r="G70" s="1423">
        <f t="shared" ref="G70:AB70" si="45">+F70/(1+G69)</f>
        <v>0.72725319563199375</v>
      </c>
      <c r="H70" s="1423">
        <f t="shared" si="45"/>
        <v>0.65400467233092963</v>
      </c>
      <c r="I70" s="1423">
        <f t="shared" si="45"/>
        <v>0.58813369813932515</v>
      </c>
      <c r="J70" s="1423">
        <f t="shared" si="45"/>
        <v>0.52889721055694705</v>
      </c>
      <c r="K70" s="1423">
        <f t="shared" si="45"/>
        <v>0.47562698791092356</v>
      </c>
      <c r="L70" s="1423">
        <f t="shared" si="45"/>
        <v>0.42772211143068661</v>
      </c>
      <c r="M70" s="1423">
        <f t="shared" si="45"/>
        <v>0.38464218653838722</v>
      </c>
      <c r="N70" s="1423">
        <f t="shared" si="45"/>
        <v>0.34590124688703883</v>
      </c>
      <c r="O70" s="1423">
        <f t="shared" si="45"/>
        <v>0.31106227238043055</v>
      </c>
      <c r="P70" s="1423">
        <f t="shared" si="45"/>
        <v>0.27973225933491952</v>
      </c>
      <c r="Q70" s="1423">
        <f t="shared" si="45"/>
        <v>0.25155778717169019</v>
      </c>
      <c r="R70" s="1423">
        <f t="shared" si="45"/>
        <v>0.22622103162921778</v>
      </c>
      <c r="S70" s="1423">
        <f t="shared" si="45"/>
        <v>0.20343617952267784</v>
      </c>
      <c r="T70" s="1423">
        <f t="shared" si="45"/>
        <v>0.18294620460672467</v>
      </c>
      <c r="U70" s="1423">
        <f t="shared" si="45"/>
        <v>0.16451996817151499</v>
      </c>
      <c r="V70" s="1423">
        <f t="shared" si="45"/>
        <v>0.14794961166503146</v>
      </c>
      <c r="W70" s="1423">
        <f t="shared" si="45"/>
        <v>0.13304821192898511</v>
      </c>
      <c r="X70" s="1423">
        <f t="shared" si="45"/>
        <v>0.11964767259800818</v>
      </c>
      <c r="Y70" s="1423">
        <f t="shared" si="45"/>
        <v>0.10759682787590663</v>
      </c>
      <c r="Z70" s="1423">
        <f t="shared" si="45"/>
        <v>9.6759737298477172E-2</v>
      </c>
      <c r="AA70" s="1423">
        <f t="shared" si="45"/>
        <v>8.7014152246831983E-2</v>
      </c>
      <c r="AB70" s="1423">
        <f t="shared" si="45"/>
        <v>7.8250136912618687E-2</v>
      </c>
    </row>
    <row r="71" spans="1:29" x14ac:dyDescent="0.25">
      <c r="A71" s="1304"/>
      <c r="B71" s="1304" t="s">
        <v>297</v>
      </c>
      <c r="C71" s="1304"/>
      <c r="D71" s="1421">
        <f>+D68*D70</f>
        <v>0</v>
      </c>
      <c r="E71" s="1421">
        <f>+E68*E70</f>
        <v>1461.3608533723029</v>
      </c>
      <c r="F71" s="1421">
        <f t="shared" ref="F71:AB71" si="46">+F68*F70</f>
        <v>1344.2075745990442</v>
      </c>
      <c r="G71" s="1421">
        <f t="shared" si="46"/>
        <v>1235.9916791876519</v>
      </c>
      <c r="H71" s="1421">
        <f t="shared" si="46"/>
        <v>1136.0863483531643</v>
      </c>
      <c r="I71" s="1421">
        <f t="shared" si="46"/>
        <v>1043.9017342662385</v>
      </c>
      <c r="J71" s="1421">
        <f t="shared" si="46"/>
        <v>958.88374572911641</v>
      </c>
      <c r="K71" s="1421">
        <f t="shared" si="46"/>
        <v>880.51271493984621</v>
      </c>
      <c r="L71" s="1421">
        <f t="shared" si="46"/>
        <v>808.30198055968856</v>
      </c>
      <c r="M71" s="1421">
        <f t="shared" si="46"/>
        <v>741.79641650824749</v>
      </c>
      <c r="N71" s="1421">
        <f t="shared" si="46"/>
        <v>680.57093092073478</v>
      </c>
      <c r="O71" s="1421">
        <f t="shared" si="46"/>
        <v>624.22895541029402</v>
      </c>
      <c r="P71" s="1421">
        <f t="shared" si="46"/>
        <v>572.4009410960856</v>
      </c>
      <c r="Q71" s="1421">
        <f t="shared" si="46"/>
        <v>524.74287470634215</v>
      </c>
      <c r="R71" s="1421">
        <f t="shared" si="46"/>
        <v>480.93482537592217</v>
      </c>
      <c r="S71" s="1421">
        <f t="shared" si="46"/>
        <v>440.67953046948986</v>
      </c>
      <c r="T71" s="1421">
        <f t="shared" si="46"/>
        <v>403.7010268213042</v>
      </c>
      <c r="U71" s="1421">
        <f t="shared" si="46"/>
        <v>369.74333214423103</v>
      </c>
      <c r="V71" s="1421">
        <f t="shared" si="46"/>
        <v>338.56917998329294</v>
      </c>
      <c r="W71" s="1421">
        <f t="shared" si="46"/>
        <v>309.95881043726422</v>
      </c>
      <c r="X71" s="1421">
        <f t="shared" si="46"/>
        <v>283.70881791439598</v>
      </c>
      <c r="Y71" s="1421">
        <f t="shared" si="46"/>
        <v>259.63105639814177</v>
      </c>
      <c r="Z71" s="1421">
        <f t="shared" si="46"/>
        <v>237.5516020520833</v>
      </c>
      <c r="AA71" s="1421">
        <f t="shared" si="46"/>
        <v>217.30977246946821</v>
      </c>
      <c r="AB71" s="1421">
        <f t="shared" si="46"/>
        <v>198.7572014539227</v>
      </c>
    </row>
    <row r="72" spans="1:29" x14ac:dyDescent="0.25">
      <c r="A72" s="1304"/>
      <c r="B72" s="819" t="s">
        <v>298</v>
      </c>
      <c r="C72" s="1304"/>
      <c r="D72" s="1424">
        <f>+SUM(E71:N71)</f>
        <v>10291.613978436033</v>
      </c>
      <c r="E72" s="1424">
        <f>+SUM(F71:O71)/E70</f>
        <v>10513.384073487117</v>
      </c>
      <c r="F72" s="1424">
        <f t="shared" ref="F72:Q72" si="47">+SUM(G71:P71)/F70</f>
        <v>10736.510227899395</v>
      </c>
      <c r="G72" s="1424">
        <f t="shared" si="47"/>
        <v>10961.006002266475</v>
      </c>
      <c r="H72" s="1424">
        <f t="shared" si="47"/>
        <v>11186.885092787907</v>
      </c>
      <c r="I72" s="1424">
        <f t="shared" si="47"/>
        <v>11414.161332625235</v>
      </c>
      <c r="J72" s="1424">
        <f t="shared" si="47"/>
        <v>11642.848693271621</v>
      </c>
      <c r="K72" s="1424">
        <f t="shared" si="47"/>
        <v>11872.961285935149</v>
      </c>
      <c r="L72" s="1424">
        <f t="shared" si="47"/>
        <v>12104.513362935995</v>
      </c>
      <c r="M72" s="1424">
        <f t="shared" si="47"/>
        <v>12337.519319117531</v>
      </c>
      <c r="N72" s="1424">
        <f t="shared" si="47"/>
        <v>12571.993693271563</v>
      </c>
      <c r="O72" s="1424">
        <f t="shared" si="47"/>
        <v>12807.951169577822</v>
      </c>
      <c r="P72" s="1424">
        <f t="shared" si="47"/>
        <v>13045.406579057821</v>
      </c>
      <c r="Q72" s="1424">
        <f t="shared" si="47"/>
        <v>13284.3749010433</v>
      </c>
      <c r="R72" s="1424"/>
      <c r="S72" s="1424"/>
      <c r="T72" s="1424"/>
      <c r="U72" s="1424"/>
      <c r="V72" s="1424"/>
    </row>
    <row r="73" spans="1:29" ht="16.5" thickBot="1" x14ac:dyDescent="0.3">
      <c r="A73" s="1304"/>
      <c r="B73" s="819" t="s">
        <v>299</v>
      </c>
      <c r="C73" s="1304"/>
      <c r="D73" s="1424">
        <f>+O68/(O69-O$29)*N70</f>
        <v>6805.3195923161466</v>
      </c>
      <c r="E73" s="1424">
        <f>+P68/(P69-P$29)*O70/E70</f>
        <v>6939.2053853599818</v>
      </c>
      <c r="F73" s="1424">
        <f t="shared" ref="F73:Q73" si="48">+Q68/(Q69-Q$29)*P70/F70</f>
        <v>7073.9297100597805</v>
      </c>
      <c r="G73" s="1424">
        <f t="shared" si="48"/>
        <v>7209.5009517321032</v>
      </c>
      <c r="H73" s="1424">
        <f t="shared" si="48"/>
        <v>7345.9275795466774</v>
      </c>
      <c r="I73" s="1424">
        <f t="shared" si="48"/>
        <v>7483.2181473649225</v>
      </c>
      <c r="J73" s="1424">
        <f t="shared" si="48"/>
        <v>7621.3812945868713</v>
      </c>
      <c r="K73" s="1424">
        <f t="shared" si="48"/>
        <v>7760.4257470065722</v>
      </c>
      <c r="L73" s="1424">
        <f t="shared" si="48"/>
        <v>7900.3603176759934</v>
      </c>
      <c r="M73" s="1424">
        <f t="shared" si="48"/>
        <v>8041.193907777636</v>
      </c>
      <c r="N73" s="1424">
        <f t="shared" si="48"/>
        <v>8182.9355075058184</v>
      </c>
      <c r="O73" s="1424">
        <f t="shared" si="48"/>
        <v>8325.5941969568121</v>
      </c>
      <c r="P73" s="1424">
        <f t="shared" si="48"/>
        <v>8469.1791470278276</v>
      </c>
      <c r="Q73" s="1424">
        <f t="shared" si="48"/>
        <v>8613.699620325091</v>
      </c>
      <c r="R73" s="1424"/>
      <c r="S73" s="1424"/>
      <c r="T73" s="1424"/>
      <c r="U73" s="1424"/>
      <c r="V73" s="1424"/>
    </row>
    <row r="74" spans="1:29" ht="16.5" thickBot="1" x14ac:dyDescent="0.3">
      <c r="A74" s="671"/>
      <c r="B74" s="1425" t="s">
        <v>300</v>
      </c>
      <c r="C74" s="1148"/>
      <c r="D74" s="1426">
        <f>+D72+D73</f>
        <v>17096.933570752179</v>
      </c>
      <c r="E74" s="1426">
        <f t="shared" ref="E74:Q74" si="49">+E72+E73</f>
        <v>17452.589458847098</v>
      </c>
      <c r="F74" s="1426">
        <f t="shared" si="49"/>
        <v>17810.439937959174</v>
      </c>
      <c r="G74" s="1426">
        <f t="shared" si="49"/>
        <v>18170.506953998578</v>
      </c>
      <c r="H74" s="1426">
        <f t="shared" si="49"/>
        <v>18532.812672334585</v>
      </c>
      <c r="I74" s="1426">
        <f t="shared" si="49"/>
        <v>18897.379479990159</v>
      </c>
      <c r="J74" s="1426">
        <f t="shared" si="49"/>
        <v>19264.229987858493</v>
      </c>
      <c r="K74" s="1426">
        <f t="shared" si="49"/>
        <v>19633.387032941722</v>
      </c>
      <c r="L74" s="1426">
        <f t="shared" si="49"/>
        <v>20004.873680611989</v>
      </c>
      <c r="M74" s="1426">
        <f t="shared" si="49"/>
        <v>20378.713226895168</v>
      </c>
      <c r="N74" s="1426">
        <f t="shared" si="49"/>
        <v>20754.92920077738</v>
      </c>
      <c r="O74" s="1426">
        <f t="shared" si="49"/>
        <v>21133.545366534636</v>
      </c>
      <c r="P74" s="1426">
        <f t="shared" si="49"/>
        <v>21514.58572608565</v>
      </c>
      <c r="Q74" s="1426">
        <f t="shared" si="49"/>
        <v>21898.074521368391</v>
      </c>
    </row>
    <row r="75" spans="1:29" ht="16.5" thickBot="1" x14ac:dyDescent="0.3">
      <c r="A75" s="671"/>
      <c r="B75" s="1304" t="s">
        <v>301</v>
      </c>
      <c r="C75" s="768"/>
      <c r="D75" s="1128">
        <f>-D14</f>
        <v>-10764.481</v>
      </c>
      <c r="E75" s="1128">
        <f t="shared" ref="E75:Q75" si="50">-E14</f>
        <v>-11140.85125</v>
      </c>
      <c r="F75" s="1128">
        <f t="shared" si="50"/>
        <v>-11517.2215</v>
      </c>
      <c r="G75" s="1128">
        <f t="shared" si="50"/>
        <v>-11893.59175</v>
      </c>
      <c r="H75" s="1128">
        <f t="shared" si="50"/>
        <v>-12269.962</v>
      </c>
      <c r="I75" s="1128">
        <f t="shared" si="50"/>
        <v>-12646.332249999999</v>
      </c>
      <c r="J75" s="1128">
        <f t="shared" si="50"/>
        <v>-13022.702499999999</v>
      </c>
      <c r="K75" s="1128">
        <f t="shared" si="50"/>
        <v>-13399.072749999999</v>
      </c>
      <c r="L75" s="1128">
        <f t="shared" si="50"/>
        <v>-13775.442999999999</v>
      </c>
      <c r="M75" s="1128">
        <f t="shared" si="50"/>
        <v>-14151.813249999999</v>
      </c>
      <c r="N75" s="1128">
        <f t="shared" si="50"/>
        <v>-14528.183499999999</v>
      </c>
      <c r="O75" s="1128">
        <f t="shared" si="50"/>
        <v>-14904.553749999999</v>
      </c>
      <c r="P75" s="1128">
        <f t="shared" si="50"/>
        <v>-15280.923999999999</v>
      </c>
      <c r="Q75" s="1128">
        <f t="shared" si="50"/>
        <v>-15657.294249999999</v>
      </c>
    </row>
    <row r="76" spans="1:29" ht="16.5" thickBot="1" x14ac:dyDescent="0.3">
      <c r="A76" s="1427" t="s">
        <v>302</v>
      </c>
      <c r="B76" s="1428" t="s">
        <v>303</v>
      </c>
      <c r="C76" s="1429"/>
      <c r="D76" s="1430">
        <f t="shared" ref="D76:Q76" si="51">+D74+D75</f>
        <v>6332.4525707521789</v>
      </c>
      <c r="E76" s="1430">
        <f t="shared" si="51"/>
        <v>6311.7382088470986</v>
      </c>
      <c r="F76" s="1430">
        <f t="shared" si="51"/>
        <v>6293.2184379591745</v>
      </c>
      <c r="G76" s="1430">
        <f t="shared" si="51"/>
        <v>6276.9152039985784</v>
      </c>
      <c r="H76" s="1430">
        <f t="shared" si="51"/>
        <v>6262.8506723345854</v>
      </c>
      <c r="I76" s="1430">
        <f t="shared" si="51"/>
        <v>6251.0472299901594</v>
      </c>
      <c r="J76" s="1430">
        <f t="shared" si="51"/>
        <v>6241.5274878584933</v>
      </c>
      <c r="K76" s="1430">
        <f t="shared" si="51"/>
        <v>6234.3142829417229</v>
      </c>
      <c r="L76" s="1430">
        <f t="shared" si="51"/>
        <v>6229.4306806119894</v>
      </c>
      <c r="M76" s="1430">
        <f t="shared" si="51"/>
        <v>6226.8999768951689</v>
      </c>
      <c r="N76" s="1430">
        <f t="shared" si="51"/>
        <v>6226.745700777381</v>
      </c>
      <c r="O76" s="1430">
        <f t="shared" si="51"/>
        <v>6228.9916165346367</v>
      </c>
      <c r="P76" s="1430">
        <f t="shared" si="51"/>
        <v>6233.661726085651</v>
      </c>
      <c r="Q76" s="1430">
        <f t="shared" si="51"/>
        <v>6240.7802713683923</v>
      </c>
    </row>
    <row r="77" spans="1:29" ht="16.5" thickBot="1" x14ac:dyDescent="0.3"/>
    <row r="78" spans="1:29" x14ac:dyDescent="0.25">
      <c r="A78" s="1304"/>
      <c r="B78" s="1304" t="s">
        <v>304</v>
      </c>
      <c r="C78" s="1304"/>
      <c r="D78" s="1046">
        <v>0</v>
      </c>
      <c r="E78" s="1046">
        <v>1</v>
      </c>
      <c r="F78" s="1046">
        <f t="shared" ref="F78:N78" si="52">E78+1</f>
        <v>2</v>
      </c>
      <c r="G78" s="1046">
        <f t="shared" si="52"/>
        <v>3</v>
      </c>
      <c r="H78" s="1046">
        <f t="shared" si="52"/>
        <v>4</v>
      </c>
      <c r="I78" s="1046">
        <f t="shared" si="52"/>
        <v>5</v>
      </c>
      <c r="J78" s="1046">
        <f t="shared" si="52"/>
        <v>6</v>
      </c>
      <c r="K78" s="1046">
        <f t="shared" si="52"/>
        <v>7</v>
      </c>
      <c r="L78" s="1046">
        <f t="shared" si="52"/>
        <v>8</v>
      </c>
      <c r="M78" s="1046">
        <f t="shared" si="52"/>
        <v>9</v>
      </c>
      <c r="N78" s="1046">
        <f t="shared" si="52"/>
        <v>10</v>
      </c>
      <c r="O78" s="1046">
        <f>N78+1</f>
        <v>11</v>
      </c>
      <c r="P78" s="1046">
        <f t="shared" ref="P78:AB78" si="53">O78+1</f>
        <v>12</v>
      </c>
      <c r="Q78" s="1046">
        <f t="shared" si="53"/>
        <v>13</v>
      </c>
      <c r="R78" s="1046">
        <f t="shared" si="53"/>
        <v>14</v>
      </c>
      <c r="S78" s="1046">
        <f t="shared" si="53"/>
        <v>15</v>
      </c>
      <c r="T78" s="1046">
        <f t="shared" si="53"/>
        <v>16</v>
      </c>
      <c r="U78" s="1046">
        <f t="shared" si="53"/>
        <v>17</v>
      </c>
      <c r="V78" s="1046">
        <f t="shared" si="53"/>
        <v>18</v>
      </c>
      <c r="W78" s="1046">
        <f t="shared" si="53"/>
        <v>19</v>
      </c>
      <c r="X78" s="1046">
        <f t="shared" si="53"/>
        <v>20</v>
      </c>
      <c r="Y78" s="1046">
        <f t="shared" si="53"/>
        <v>21</v>
      </c>
      <c r="Z78" s="1046">
        <f t="shared" si="53"/>
        <v>22</v>
      </c>
      <c r="AA78" s="1046">
        <f t="shared" si="53"/>
        <v>23</v>
      </c>
      <c r="AB78" s="1046">
        <f t="shared" si="53"/>
        <v>24</v>
      </c>
    </row>
    <row r="79" spans="1:29" x14ac:dyDescent="0.25">
      <c r="A79" s="1304"/>
      <c r="B79" s="1304" t="s">
        <v>305</v>
      </c>
      <c r="C79" s="1304"/>
      <c r="D79" s="1421">
        <f t="shared" ref="D79:AB79" si="54">+D52</f>
        <v>0</v>
      </c>
      <c r="E79" s="1421">
        <f t="shared" si="54"/>
        <v>1203.0656137500009</v>
      </c>
      <c r="F79" s="1421">
        <f t="shared" si="54"/>
        <v>1225.4504421250006</v>
      </c>
      <c r="G79" s="1421">
        <f t="shared" si="54"/>
        <v>1248.0591187837508</v>
      </c>
      <c r="H79" s="1421">
        <f t="shared" si="54"/>
        <v>1270.8938822090881</v>
      </c>
      <c r="I79" s="1421">
        <f t="shared" si="54"/>
        <v>1293.9569932686791</v>
      </c>
      <c r="J79" s="1421">
        <f t="shared" si="54"/>
        <v>1317.2507354388658</v>
      </c>
      <c r="K79" s="1421">
        <f t="shared" si="54"/>
        <v>1340.7774150307548</v>
      </c>
      <c r="L79" s="1421">
        <f t="shared" si="54"/>
        <v>1364.5393614185623</v>
      </c>
      <c r="M79" s="1421">
        <f t="shared" si="54"/>
        <v>1388.5389272702475</v>
      </c>
      <c r="N79" s="1421">
        <f t="shared" si="54"/>
        <v>1412.7784887804501</v>
      </c>
      <c r="O79" s="1421">
        <f t="shared" si="54"/>
        <v>1437.2604459057545</v>
      </c>
      <c r="P79" s="1421">
        <f t="shared" si="54"/>
        <v>1461.9872226023124</v>
      </c>
      <c r="Q79" s="1421">
        <f t="shared" si="54"/>
        <v>1486.9612670658355</v>
      </c>
      <c r="R79" s="1421">
        <f t="shared" si="54"/>
        <v>1512.185051973994</v>
      </c>
      <c r="S79" s="1421">
        <f t="shared" si="54"/>
        <v>1537.6610747312343</v>
      </c>
      <c r="T79" s="1421">
        <f t="shared" si="54"/>
        <v>1563.3918577160466</v>
      </c>
      <c r="U79" s="1421">
        <f t="shared" si="54"/>
        <v>1589.3799485307068</v>
      </c>
      <c r="V79" s="1421">
        <f t="shared" si="54"/>
        <v>1615.6279202535138</v>
      </c>
      <c r="W79" s="1421">
        <f t="shared" si="54"/>
        <v>1642.1383716935491</v>
      </c>
      <c r="X79" s="1421">
        <f t="shared" si="54"/>
        <v>1668.9139276479846</v>
      </c>
      <c r="Y79" s="1421">
        <f t="shared" si="54"/>
        <v>1695.9572391619645</v>
      </c>
      <c r="Z79" s="1421">
        <f t="shared" si="54"/>
        <v>1723.2709837910845</v>
      </c>
      <c r="AA79" s="1421">
        <f t="shared" si="54"/>
        <v>1750.8578658664915</v>
      </c>
      <c r="AB79" s="1421">
        <f t="shared" si="54"/>
        <v>1778.7206167626566</v>
      </c>
    </row>
    <row r="80" spans="1:29" x14ac:dyDescent="0.25">
      <c r="A80" s="1304"/>
      <c r="B80" s="1304" t="s">
        <v>278</v>
      </c>
      <c r="C80" s="1304"/>
      <c r="D80" s="1422">
        <f t="shared" ref="D80:AB80" si="55">+D40</f>
        <v>0</v>
      </c>
      <c r="E80" s="1422">
        <f t="shared" si="55"/>
        <v>8.797846550888877E-2</v>
      </c>
      <c r="F80" s="1422">
        <f t="shared" si="55"/>
        <v>8.7618450076428711E-2</v>
      </c>
      <c r="G80" s="1422">
        <f t="shared" si="55"/>
        <v>8.7275353355178914E-2</v>
      </c>
      <c r="H80" s="1422">
        <f t="shared" si="55"/>
        <v>8.6948324484288131E-2</v>
      </c>
      <c r="I80" s="1422">
        <f t="shared" si="55"/>
        <v>8.6636569869404365E-2</v>
      </c>
      <c r="J80" s="1422">
        <f t="shared" si="55"/>
        <v>8.6339348545231745E-2</v>
      </c>
      <c r="K80" s="1422">
        <f t="shared" si="55"/>
        <v>8.6055967979117326E-2</v>
      </c>
      <c r="L80" s="1422">
        <f t="shared" si="55"/>
        <v>8.5785780266562611E-2</v>
      </c>
      <c r="M80" s="1422">
        <f t="shared" si="55"/>
        <v>8.5528178675701366E-2</v>
      </c>
      <c r="N80" s="1422">
        <f t="shared" si="55"/>
        <v>8.5282594503092321E-2</v>
      </c>
      <c r="O80" s="1422">
        <f t="shared" si="55"/>
        <v>8.5048494207767833E-2</v>
      </c>
      <c r="P80" s="1422">
        <f t="shared" si="55"/>
        <v>8.4825376794465279E-2</v>
      </c>
      <c r="Q80" s="1422">
        <f t="shared" si="55"/>
        <v>8.4612771420429361E-2</v>
      </c>
      <c r="R80" s="1422">
        <f t="shared" si="55"/>
        <v>8.4612771420429361E-2</v>
      </c>
      <c r="S80" s="1422">
        <f t="shared" si="55"/>
        <v>8.4612771420429361E-2</v>
      </c>
      <c r="T80" s="1422">
        <f t="shared" si="55"/>
        <v>8.4612771420429361E-2</v>
      </c>
      <c r="U80" s="1422">
        <f t="shared" si="55"/>
        <v>8.4612771420429361E-2</v>
      </c>
      <c r="V80" s="1422">
        <f t="shared" si="55"/>
        <v>8.4612771420429361E-2</v>
      </c>
      <c r="W80" s="1422">
        <f t="shared" si="55"/>
        <v>8.4612771420429361E-2</v>
      </c>
      <c r="X80" s="1422">
        <f t="shared" si="55"/>
        <v>8.4612771420429361E-2</v>
      </c>
      <c r="Y80" s="1422">
        <f t="shared" si="55"/>
        <v>8.4612771420429361E-2</v>
      </c>
      <c r="Z80" s="1422">
        <f t="shared" si="55"/>
        <v>8.4612771420429361E-2</v>
      </c>
      <c r="AA80" s="1422">
        <f t="shared" si="55"/>
        <v>8.4612771420429361E-2</v>
      </c>
      <c r="AB80" s="1422">
        <f t="shared" si="55"/>
        <v>0</v>
      </c>
      <c r="AC80" s="1422"/>
    </row>
    <row r="81" spans="1:29" x14ac:dyDescent="0.25">
      <c r="A81" s="1304"/>
      <c r="B81" s="1304" t="s">
        <v>296</v>
      </c>
      <c r="C81" s="1304"/>
      <c r="D81" s="1421">
        <f>1/(1+D80)^D78</f>
        <v>1</v>
      </c>
      <c r="E81" s="1423">
        <f>+D81/(1+E80)</f>
        <v>0.91913583926705933</v>
      </c>
      <c r="F81" s="1423">
        <f>+E81/(1+F80)</f>
        <v>0.84509033402519984</v>
      </c>
      <c r="G81" s="1423">
        <f t="shared" ref="G81:AB81" si="56">+F81/(1+G80)</f>
        <v>0.77725511887800081</v>
      </c>
      <c r="H81" s="1423">
        <f t="shared" si="56"/>
        <v>0.71508010212608419</v>
      </c>
      <c r="I81" s="1423">
        <f t="shared" si="56"/>
        <v>0.658067399859389</v>
      </c>
      <c r="J81" s="1423">
        <f t="shared" si="56"/>
        <v>0.6057659613827282</v>
      </c>
      <c r="K81" s="1423">
        <f t="shared" si="56"/>
        <v>0.55776679954156461</v>
      </c>
      <c r="L81" s="1423">
        <f t="shared" si="56"/>
        <v>0.51369875133622733</v>
      </c>
      <c r="M81" s="1423">
        <f t="shared" si="56"/>
        <v>0.47322470427522034</v>
      </c>
      <c r="N81" s="1423">
        <f t="shared" si="56"/>
        <v>0.43603823250467871</v>
      </c>
      <c r="O81" s="1423">
        <f t="shared" si="56"/>
        <v>0.40186059409542391</v>
      </c>
      <c r="P81" s="1423">
        <f t="shared" si="56"/>
        <v>0.37043804716559631</v>
      </c>
      <c r="Q81" s="1423">
        <f t="shared" si="56"/>
        <v>0.34153944792708241</v>
      </c>
      <c r="R81" s="1423">
        <f t="shared" si="56"/>
        <v>0.31489528514383608</v>
      </c>
      <c r="S81" s="1423">
        <f t="shared" si="56"/>
        <v>0.29032968580246687</v>
      </c>
      <c r="T81" s="1423">
        <f t="shared" si="56"/>
        <v>0.26768049708860203</v>
      </c>
      <c r="U81" s="1423">
        <f t="shared" si="56"/>
        <v>0.24679821604722815</v>
      </c>
      <c r="V81" s="1423">
        <f t="shared" si="56"/>
        <v>0.22754500274233036</v>
      </c>
      <c r="W81" s="1423">
        <f t="shared" si="56"/>
        <v>0.20979377040188557</v>
      </c>
      <c r="X81" s="1423">
        <f t="shared" si="56"/>
        <v>0.19342734654243068</v>
      </c>
      <c r="Y81" s="1423">
        <f t="shared" si="56"/>
        <v>0.17833769953595011</v>
      </c>
      <c r="Z81" s="1423">
        <f t="shared" si="56"/>
        <v>0.16442522551379851</v>
      </c>
      <c r="AA81" s="1423">
        <f t="shared" si="56"/>
        <v>0.15159809090064846</v>
      </c>
      <c r="AB81" s="1423">
        <f t="shared" si="56"/>
        <v>0.15159809090064846</v>
      </c>
    </row>
    <row r="82" spans="1:29" x14ac:dyDescent="0.25">
      <c r="A82" s="1304"/>
      <c r="B82" s="1304" t="s">
        <v>297</v>
      </c>
      <c r="C82" s="1304"/>
      <c r="D82" s="1421">
        <f>+D79*D81</f>
        <v>0</v>
      </c>
      <c r="E82" s="1421">
        <f>+E79*E81</f>
        <v>1105.7807225874469</v>
      </c>
      <c r="F82" s="1421">
        <f t="shared" ref="F82:AB82" si="57">+F79*F81</f>
        <v>1035.6163234667456</v>
      </c>
      <c r="G82" s="1421">
        <f t="shared" si="57"/>
        <v>970.06033873703723</v>
      </c>
      <c r="H82" s="1421">
        <f t="shared" si="57"/>
        <v>908.79092708149039</v>
      </c>
      <c r="I82" s="1421">
        <f t="shared" si="57"/>
        <v>851.5109140901925</v>
      </c>
      <c r="J82" s="1421">
        <f t="shared" si="57"/>
        <v>797.94565813523036</v>
      </c>
      <c r="K82" s="1421">
        <f t="shared" si="57"/>
        <v>747.84112767931617</v>
      </c>
      <c r="L82" s="1421">
        <f t="shared" si="57"/>
        <v>700.96216610984845</v>
      </c>
      <c r="M82" s="1421">
        <f t="shared" si="57"/>
        <v>657.09092323209461</v>
      </c>
      <c r="N82" s="1421">
        <f t="shared" si="57"/>
        <v>616.02543516845856</v>
      </c>
      <c r="O82" s="1421">
        <f t="shared" si="57"/>
        <v>577.57833666154033</v>
      </c>
      <c r="P82" s="1421">
        <f t="shared" si="57"/>
        <v>541.57569172185458</v>
      </c>
      <c r="Q82" s="1421">
        <f t="shared" si="57"/>
        <v>507.85593024262039</v>
      </c>
      <c r="R82" s="1421">
        <f t="shared" si="57"/>
        <v>476.17994313159738</v>
      </c>
      <c r="S82" s="1421">
        <f t="shared" si="57"/>
        <v>446.4286566974028</v>
      </c>
      <c r="T82" s="1421">
        <f t="shared" si="57"/>
        <v>418.48950961770436</v>
      </c>
      <c r="U82" s="1421">
        <f t="shared" si="57"/>
        <v>392.25613591861372</v>
      </c>
      <c r="V82" s="1421">
        <f t="shared" si="57"/>
        <v>367.62805954467132</v>
      </c>
      <c r="W82" s="1421">
        <f t="shared" si="57"/>
        <v>344.51040051920268</v>
      </c>
      <c r="X82" s="1421">
        <f t="shared" si="57"/>
        <v>322.8135926326558</v>
      </c>
      <c r="Y82" s="1421">
        <f t="shared" si="57"/>
        <v>302.45311254348587</v>
      </c>
      <c r="Z82" s="1421">
        <f t="shared" si="57"/>
        <v>283.34922013123452</v>
      </c>
      <c r="AA82" s="1421">
        <f t="shared" si="57"/>
        <v>265.42670990374376</v>
      </c>
      <c r="AB82" s="1421">
        <f t="shared" si="57"/>
        <v>269.6506497468427</v>
      </c>
    </row>
    <row r="83" spans="1:29" x14ac:dyDescent="0.25">
      <c r="A83" s="1304"/>
      <c r="B83" s="1304" t="s">
        <v>306</v>
      </c>
      <c r="C83" s="1304"/>
      <c r="D83" s="1424">
        <f>+SUM(E82:N82)</f>
        <v>8391.6245362878599</v>
      </c>
      <c r="E83" s="1424">
        <f>+SUM(F82:O82)/E81</f>
        <v>8555.2339647994067</v>
      </c>
      <c r="F83" s="1424">
        <f t="shared" ref="F83:N83" si="58">+SUM(G82:P82)/F81</f>
        <v>8720.2293315986681</v>
      </c>
      <c r="G83" s="1424">
        <f t="shared" si="58"/>
        <v>8886.6280097240615</v>
      </c>
      <c r="H83" s="1424">
        <f t="shared" si="58"/>
        <v>9054.3228750492453</v>
      </c>
      <c r="I83" s="1424">
        <f t="shared" si="58"/>
        <v>9223.1948734686539</v>
      </c>
      <c r="J83" s="1424">
        <f t="shared" si="58"/>
        <v>9393.1123288510898</v>
      </c>
      <c r="K83" s="1424">
        <f t="shared" si="58"/>
        <v>9563.9301817285996</v>
      </c>
      <c r="L83" s="1424">
        <f t="shared" si="58"/>
        <v>9735.489153765182</v>
      </c>
      <c r="M83" s="1424">
        <f t="shared" si="58"/>
        <v>9907.6148325867798</v>
      </c>
      <c r="N83" s="1424">
        <f t="shared" si="58"/>
        <v>10080.116671055219</v>
      </c>
      <c r="O83" s="1421"/>
    </row>
    <row r="84" spans="1:29" ht="16.5" thickBot="1" x14ac:dyDescent="0.3">
      <c r="A84" s="1304"/>
      <c r="B84" s="1304" t="s">
        <v>307</v>
      </c>
      <c r="C84" s="1304"/>
      <c r="D84" s="1424">
        <f>+O79/(O80-O$29)*N81</f>
        <v>8350.6073119421162</v>
      </c>
      <c r="E84" s="1424">
        <f t="shared" ref="E84:N84" si="59">+P79/(P80-P$29)*O81/E81</f>
        <v>8542.6061868081397</v>
      </c>
      <c r="F84" s="1424">
        <f t="shared" si="59"/>
        <v>8735.7246369233071</v>
      </c>
      <c r="G84" s="1424">
        <f t="shared" si="59"/>
        <v>8905.7202779335203</v>
      </c>
      <c r="H84" s="1424">
        <f t="shared" si="59"/>
        <v>9075.2565988245315</v>
      </c>
      <c r="I84" s="1424">
        <f t="shared" si="59"/>
        <v>9244.3364087127156</v>
      </c>
      <c r="J84" s="1424">
        <f t="shared" si="59"/>
        <v>9412.9645226459634</v>
      </c>
      <c r="K84" s="1424">
        <f t="shared" si="59"/>
        <v>9581.1476819397121</v>
      </c>
      <c r="L84" s="1424">
        <f t="shared" si="59"/>
        <v>9748.8944787949586</v>
      </c>
      <c r="M84" s="1424">
        <f t="shared" si="59"/>
        <v>9916.2152850066632</v>
      </c>
      <c r="N84" s="1424">
        <f t="shared" si="59"/>
        <v>10083.122184571648</v>
      </c>
      <c r="O84" s="1421"/>
    </row>
    <row r="85" spans="1:29" ht="16.5" thickBot="1" x14ac:dyDescent="0.3">
      <c r="A85" s="671"/>
      <c r="B85" s="1147" t="s">
        <v>300</v>
      </c>
      <c r="C85" s="1148"/>
      <c r="D85" s="1426">
        <f>+D83+D84</f>
        <v>16742.231848229974</v>
      </c>
      <c r="E85" s="1426">
        <f t="shared" ref="E85:N85" si="60">+E83+E84</f>
        <v>17097.840151607546</v>
      </c>
      <c r="F85" s="1426">
        <f t="shared" si="60"/>
        <v>17455.953968521975</v>
      </c>
      <c r="G85" s="1426">
        <f t="shared" si="60"/>
        <v>17792.34828765758</v>
      </c>
      <c r="H85" s="1426">
        <f t="shared" si="60"/>
        <v>18129.579473873775</v>
      </c>
      <c r="I85" s="1426">
        <f t="shared" si="60"/>
        <v>18467.531282181371</v>
      </c>
      <c r="J85" s="1426">
        <f t="shared" si="60"/>
        <v>18806.076851497055</v>
      </c>
      <c r="K85" s="1426">
        <f t="shared" si="60"/>
        <v>19145.07786366831</v>
      </c>
      <c r="L85" s="1426">
        <f t="shared" si="60"/>
        <v>19484.383632560141</v>
      </c>
      <c r="M85" s="1426">
        <f t="shared" si="60"/>
        <v>19823.830117593443</v>
      </c>
      <c r="N85" s="1426">
        <f t="shared" si="60"/>
        <v>20163.238855626867</v>
      </c>
      <c r="O85" s="671"/>
    </row>
    <row r="86" spans="1:29" ht="16.5" thickBot="1" x14ac:dyDescent="0.3">
      <c r="A86" s="671"/>
      <c r="B86" s="1304" t="s">
        <v>301</v>
      </c>
      <c r="C86" s="768"/>
      <c r="D86" s="1128">
        <f t="shared" ref="D86:N86" si="61">-D14</f>
        <v>-10764.481</v>
      </c>
      <c r="E86" s="1128">
        <f t="shared" si="61"/>
        <v>-11140.85125</v>
      </c>
      <c r="F86" s="1128">
        <f t="shared" si="61"/>
        <v>-11517.2215</v>
      </c>
      <c r="G86" s="1128">
        <f t="shared" si="61"/>
        <v>-11893.59175</v>
      </c>
      <c r="H86" s="1128">
        <f t="shared" si="61"/>
        <v>-12269.962</v>
      </c>
      <c r="I86" s="1128">
        <f t="shared" si="61"/>
        <v>-12646.332249999999</v>
      </c>
      <c r="J86" s="1128">
        <f t="shared" si="61"/>
        <v>-13022.702499999999</v>
      </c>
      <c r="K86" s="1128">
        <f t="shared" si="61"/>
        <v>-13399.072749999999</v>
      </c>
      <c r="L86" s="1128">
        <f t="shared" si="61"/>
        <v>-13775.442999999999</v>
      </c>
      <c r="M86" s="1128">
        <f t="shared" si="61"/>
        <v>-14151.813249999999</v>
      </c>
      <c r="N86" s="1128">
        <f t="shared" si="61"/>
        <v>-14528.183499999999</v>
      </c>
      <c r="O86" s="671"/>
    </row>
    <row r="87" spans="1:29" ht="16.5" thickBot="1" x14ac:dyDescent="0.3">
      <c r="A87" s="1427" t="s">
        <v>308</v>
      </c>
      <c r="B87" s="1428" t="s">
        <v>303</v>
      </c>
      <c r="C87" s="1429"/>
      <c r="D87" s="1430">
        <f t="shared" ref="D87:N87" si="62">+D85+D86</f>
        <v>5977.7508482299745</v>
      </c>
      <c r="E87" s="1430">
        <f t="shared" si="62"/>
        <v>5956.9889016075467</v>
      </c>
      <c r="F87" s="1430">
        <f t="shared" si="62"/>
        <v>5938.7324685219755</v>
      </c>
      <c r="G87" s="1430">
        <f t="shared" si="62"/>
        <v>5898.7565376575803</v>
      </c>
      <c r="H87" s="1430">
        <f t="shared" si="62"/>
        <v>5859.6174738737755</v>
      </c>
      <c r="I87" s="1430">
        <f t="shared" si="62"/>
        <v>5821.1990321813719</v>
      </c>
      <c r="J87" s="1430">
        <f t="shared" si="62"/>
        <v>5783.3743514970556</v>
      </c>
      <c r="K87" s="1430">
        <f t="shared" si="62"/>
        <v>5746.0051136683105</v>
      </c>
      <c r="L87" s="1430">
        <f t="shared" si="62"/>
        <v>5708.9406325601412</v>
      </c>
      <c r="M87" s="1430">
        <f t="shared" si="62"/>
        <v>5672.0168675934437</v>
      </c>
      <c r="N87" s="1430">
        <f t="shared" si="62"/>
        <v>5635.0553556268678</v>
      </c>
      <c r="O87" s="671"/>
    </row>
    <row r="88" spans="1:29" ht="16.5" thickBot="1" x14ac:dyDescent="0.3"/>
    <row r="89" spans="1:29" x14ac:dyDescent="0.25">
      <c r="A89" s="1304"/>
      <c r="B89" s="1304" t="s">
        <v>309</v>
      </c>
      <c r="C89" s="1304"/>
      <c r="D89" s="1046">
        <v>0</v>
      </c>
      <c r="E89" s="1046">
        <v>1</v>
      </c>
      <c r="F89" s="1046">
        <f t="shared" ref="F89:N89" si="63">E89+1</f>
        <v>2</v>
      </c>
      <c r="G89" s="1046">
        <f t="shared" si="63"/>
        <v>3</v>
      </c>
      <c r="H89" s="1046">
        <f t="shared" si="63"/>
        <v>4</v>
      </c>
      <c r="I89" s="1046">
        <f t="shared" si="63"/>
        <v>5</v>
      </c>
      <c r="J89" s="1046">
        <f t="shared" si="63"/>
        <v>6</v>
      </c>
      <c r="K89" s="1046">
        <f t="shared" si="63"/>
        <v>7</v>
      </c>
      <c r="L89" s="1046">
        <f t="shared" si="63"/>
        <v>8</v>
      </c>
      <c r="M89" s="1046">
        <f t="shared" si="63"/>
        <v>9</v>
      </c>
      <c r="N89" s="1046">
        <f t="shared" si="63"/>
        <v>10</v>
      </c>
      <c r="O89" s="1046">
        <f>N89+1</f>
        <v>11</v>
      </c>
      <c r="P89" s="1046">
        <f t="shared" ref="P89:AB89" si="64">O89+1</f>
        <v>12</v>
      </c>
      <c r="Q89" s="1046">
        <f t="shared" si="64"/>
        <v>13</v>
      </c>
      <c r="R89" s="1046">
        <f t="shared" si="64"/>
        <v>14</v>
      </c>
      <c r="S89" s="1046">
        <f t="shared" si="64"/>
        <v>15</v>
      </c>
      <c r="T89" s="1046">
        <f t="shared" si="64"/>
        <v>16</v>
      </c>
      <c r="U89" s="1046">
        <f t="shared" si="64"/>
        <v>17</v>
      </c>
      <c r="V89" s="1046">
        <f t="shared" si="64"/>
        <v>18</v>
      </c>
      <c r="W89" s="1046">
        <f t="shared" si="64"/>
        <v>19</v>
      </c>
      <c r="X89" s="1046">
        <f t="shared" si="64"/>
        <v>20</v>
      </c>
      <c r="Y89" s="1046">
        <f t="shared" si="64"/>
        <v>21</v>
      </c>
      <c r="Z89" s="1046">
        <f t="shared" si="64"/>
        <v>22</v>
      </c>
      <c r="AA89" s="1046">
        <f t="shared" si="64"/>
        <v>23</v>
      </c>
      <c r="AB89" s="1046">
        <f t="shared" si="64"/>
        <v>24</v>
      </c>
    </row>
    <row r="90" spans="1:29" x14ac:dyDescent="0.25">
      <c r="A90" s="1304"/>
      <c r="B90" s="1304" t="s">
        <v>310</v>
      </c>
      <c r="C90" s="1304"/>
      <c r="D90" s="1431">
        <f t="shared" ref="D90:AB90" si="65">+D64</f>
        <v>0</v>
      </c>
      <c r="E90" s="1421">
        <f t="shared" si="65"/>
        <v>1471.4059338125003</v>
      </c>
      <c r="F90" s="1421">
        <f t="shared" si="65"/>
        <v>1503.0118333125006</v>
      </c>
      <c r="G90" s="1421">
        <f t="shared" si="65"/>
        <v>1534.8415810962506</v>
      </c>
      <c r="H90" s="1421">
        <f t="shared" si="65"/>
        <v>1566.8974156465881</v>
      </c>
      <c r="I90" s="1421">
        <f t="shared" si="65"/>
        <v>1599.1815978311788</v>
      </c>
      <c r="J90" s="1421">
        <f t="shared" si="65"/>
        <v>1631.6964111263655</v>
      </c>
      <c r="K90" s="1421">
        <f t="shared" si="65"/>
        <v>1664.4441618432547</v>
      </c>
      <c r="L90" s="1421">
        <f t="shared" si="65"/>
        <v>1697.427179356062</v>
      </c>
      <c r="M90" s="1421">
        <f t="shared" si="65"/>
        <v>1730.6478163327472</v>
      </c>
      <c r="N90" s="1421">
        <f t="shared" si="65"/>
        <v>1764.1084489679497</v>
      </c>
      <c r="O90" s="1421">
        <f t="shared" si="65"/>
        <v>1794.3959128326292</v>
      </c>
      <c r="P90" s="1421">
        <f t="shared" si="65"/>
        <v>1824.986251335956</v>
      </c>
      <c r="Q90" s="1421">
        <f t="shared" si="65"/>
        <v>1855.8824932243151</v>
      </c>
      <c r="R90" s="1421">
        <f t="shared" si="65"/>
        <v>1887.0876975315589</v>
      </c>
      <c r="S90" s="1421">
        <f t="shared" si="65"/>
        <v>1918.6049538818752</v>
      </c>
      <c r="T90" s="1421">
        <f t="shared" si="65"/>
        <v>1950.4373827956938</v>
      </c>
      <c r="U90" s="1421">
        <f t="shared" si="65"/>
        <v>1982.5881359986502</v>
      </c>
      <c r="V90" s="1421">
        <f t="shared" si="65"/>
        <v>2015.0603967336363</v>
      </c>
      <c r="W90" s="1421">
        <f t="shared" si="65"/>
        <v>2047.8573800759732</v>
      </c>
      <c r="X90" s="1421">
        <f t="shared" si="65"/>
        <v>2080.9823332517335</v>
      </c>
      <c r="Y90" s="1421">
        <f t="shared" si="65"/>
        <v>2114.4385359592507</v>
      </c>
      <c r="Z90" s="1421">
        <f t="shared" si="65"/>
        <v>2148.2293006938439</v>
      </c>
      <c r="AA90" s="1421">
        <f t="shared" si="65"/>
        <v>2182.3579730757783</v>
      </c>
      <c r="AB90" s="1421">
        <f t="shared" si="65"/>
        <v>2216.8279321815362</v>
      </c>
    </row>
    <row r="91" spans="1:29" x14ac:dyDescent="0.25">
      <c r="A91" s="1304"/>
      <c r="B91" s="1304" t="s">
        <v>311</v>
      </c>
      <c r="C91" s="1304"/>
      <c r="D91" s="1422"/>
      <c r="E91" s="1422">
        <f t="shared" ref="E91:AB91" si="66">+E41</f>
        <v>0.10340402608725845</v>
      </c>
      <c r="F91" s="1422">
        <f t="shared" si="66"/>
        <v>0.10325801211784458</v>
      </c>
      <c r="G91" s="1422">
        <f t="shared" si="66"/>
        <v>0.10311841662216821</v>
      </c>
      <c r="H91" s="1422">
        <f t="shared" si="66"/>
        <v>0.1029849160121253</v>
      </c>
      <c r="I91" s="1422">
        <f t="shared" si="66"/>
        <v>0.10285720913851815</v>
      </c>
      <c r="J91" s="1422">
        <f t="shared" si="66"/>
        <v>0.10273501549223224</v>
      </c>
      <c r="K91" s="1422">
        <f t="shared" si="66"/>
        <v>0.10261807357332425</v>
      </c>
      <c r="L91" s="1422">
        <f t="shared" si="66"/>
        <v>0.10250613940908869</v>
      </c>
      <c r="M91" s="1422">
        <f t="shared" si="66"/>
        <v>0.10239898520456694</v>
      </c>
      <c r="N91" s="1422">
        <f t="shared" si="66"/>
        <v>0.10229639811103607</v>
      </c>
      <c r="O91" s="1422">
        <f t="shared" si="66"/>
        <v>0.10219817909981113</v>
      </c>
      <c r="P91" s="1422">
        <f t="shared" si="66"/>
        <v>0.1021041419302593</v>
      </c>
      <c r="Q91" s="1422">
        <f t="shared" si="66"/>
        <v>0.10201411220228204</v>
      </c>
      <c r="R91" s="1422">
        <f t="shared" si="66"/>
        <v>0.10201411220228204</v>
      </c>
      <c r="S91" s="1422">
        <f t="shared" si="66"/>
        <v>0.10201411220228204</v>
      </c>
      <c r="T91" s="1422">
        <f t="shared" si="66"/>
        <v>0.10201411220228204</v>
      </c>
      <c r="U91" s="1422">
        <f t="shared" si="66"/>
        <v>0.10201411220228204</v>
      </c>
      <c r="V91" s="1422">
        <f t="shared" si="66"/>
        <v>0.10201411220228204</v>
      </c>
      <c r="W91" s="1422">
        <f t="shared" si="66"/>
        <v>0.10201411220228204</v>
      </c>
      <c r="X91" s="1422">
        <f t="shared" si="66"/>
        <v>0.10201411220228204</v>
      </c>
      <c r="Y91" s="1422">
        <f t="shared" si="66"/>
        <v>0.10201411220228204</v>
      </c>
      <c r="Z91" s="1422">
        <f t="shared" si="66"/>
        <v>0.10201411220228204</v>
      </c>
      <c r="AA91" s="1422">
        <f t="shared" si="66"/>
        <v>0.10201411220228204</v>
      </c>
      <c r="AB91" s="1422">
        <f t="shared" si="66"/>
        <v>0</v>
      </c>
      <c r="AC91" s="1422"/>
    </row>
    <row r="92" spans="1:29" x14ac:dyDescent="0.25">
      <c r="A92" s="1304"/>
      <c r="B92" s="1304" t="s">
        <v>312</v>
      </c>
      <c r="C92" s="1304"/>
      <c r="D92" s="1421">
        <f>1/(1+D91)^D89</f>
        <v>1</v>
      </c>
      <c r="E92" s="1423">
        <f>+D92/(1+E91)</f>
        <v>0.90628634331348623</v>
      </c>
      <c r="F92" s="1423">
        <f>+E92/(1+F91)</f>
        <v>0.82146364074325096</v>
      </c>
      <c r="G92" s="1423">
        <f t="shared" ref="G92:AB92" si="67">+F92/(1+G91)</f>
        <v>0.74467403350823802</v>
      </c>
      <c r="H92" s="1423">
        <f t="shared" si="67"/>
        <v>0.67514434939022483</v>
      </c>
      <c r="I92" s="1423">
        <f t="shared" si="67"/>
        <v>0.61217748208546829</v>
      </c>
      <c r="J92" s="1423">
        <f t="shared" si="67"/>
        <v>0.55514468433942687</v>
      </c>
      <c r="K92" s="1423">
        <f t="shared" si="67"/>
        <v>0.50347867284664971</v>
      </c>
      <c r="L92" s="1423">
        <f t="shared" si="67"/>
        <v>0.45666745503703016</v>
      </c>
      <c r="M92" s="1423">
        <f t="shared" si="67"/>
        <v>0.41424879845321022</v>
      </c>
      <c r="N92" s="1423">
        <f t="shared" si="67"/>
        <v>0.37580527266812519</v>
      </c>
      <c r="O92" s="1423">
        <f t="shared" si="67"/>
        <v>0.34095980177997881</v>
      </c>
      <c r="P92" s="1423">
        <f t="shared" si="67"/>
        <v>0.30937167261054954</v>
      </c>
      <c r="Q92" s="1423">
        <f t="shared" si="67"/>
        <v>0.280732949954966</v>
      </c>
      <c r="R92" s="1423">
        <f t="shared" si="67"/>
        <v>0.25474533115909465</v>
      </c>
      <c r="S92" s="1423">
        <f t="shared" si="67"/>
        <v>0.23116340193684784</v>
      </c>
      <c r="T92" s="1423">
        <f t="shared" si="67"/>
        <v>0.20976446615088018</v>
      </c>
      <c r="U92" s="1423">
        <f t="shared" si="67"/>
        <v>0.19034644277983304</v>
      </c>
      <c r="V92" s="1423">
        <f t="shared" si="67"/>
        <v>0.17272595756459214</v>
      </c>
      <c r="W92" s="1423">
        <f t="shared" si="67"/>
        <v>0.15673661131200392</v>
      </c>
      <c r="X92" s="1423">
        <f t="shared" si="67"/>
        <v>0.14222740850276325</v>
      </c>
      <c r="Y92" s="1423">
        <f t="shared" si="67"/>
        <v>0.12906133136401837</v>
      </c>
      <c r="Z92" s="1423">
        <f t="shared" si="67"/>
        <v>0.11711404594093648</v>
      </c>
      <c r="AA92" s="1423">
        <f t="shared" si="67"/>
        <v>0.106272727948006</v>
      </c>
      <c r="AB92" s="1423">
        <f t="shared" si="67"/>
        <v>0.106272727948006</v>
      </c>
    </row>
    <row r="93" spans="1:29" x14ac:dyDescent="0.25">
      <c r="A93" s="1304"/>
      <c r="B93" s="1304" t="s">
        <v>313</v>
      </c>
      <c r="C93" s="1304"/>
      <c r="D93" s="1421">
        <f>+D90*D92</f>
        <v>0</v>
      </c>
      <c r="E93" s="1421">
        <f>+E90*E92</f>
        <v>1333.5151032846964</v>
      </c>
      <c r="F93" s="1421">
        <f t="shared" ref="F93:AB93" si="68">+F90*F92</f>
        <v>1234.669572673075</v>
      </c>
      <c r="G93" s="1421">
        <f t="shared" si="68"/>
        <v>1142.9566709911064</v>
      </c>
      <c r="H93" s="1421">
        <f t="shared" si="68"/>
        <v>1057.8819362479405</v>
      </c>
      <c r="I93" s="1421">
        <f t="shared" si="68"/>
        <v>978.98296395770706</v>
      </c>
      <c r="J93" s="1421">
        <f t="shared" si="68"/>
        <v>905.82758909252186</v>
      </c>
      <c r="K93" s="1421">
        <f t="shared" si="68"/>
        <v>838.01213763219619</v>
      </c>
      <c r="L93" s="1421">
        <f t="shared" si="68"/>
        <v>775.15975010721741</v>
      </c>
      <c r="M93" s="1421">
        <f t="shared" si="68"/>
        <v>716.9187784615126</v>
      </c>
      <c r="N93" s="1421">
        <f t="shared" si="68"/>
        <v>662.96125668054378</v>
      </c>
      <c r="O93" s="1421">
        <f t="shared" si="68"/>
        <v>611.81687475421734</v>
      </c>
      <c r="P93" s="1421">
        <f t="shared" si="68"/>
        <v>564.59904906706151</v>
      </c>
      <c r="Q93" s="1421">
        <f t="shared" si="68"/>
        <v>521.00736709263924</v>
      </c>
      <c r="R93" s="1421">
        <f t="shared" si="68"/>
        <v>480.7267804339304</v>
      </c>
      <c r="S93" s="1421">
        <f t="shared" si="68"/>
        <v>443.51124811222331</v>
      </c>
      <c r="T93" s="1421">
        <f t="shared" si="68"/>
        <v>409.13245636285865</v>
      </c>
      <c r="U93" s="1421">
        <f t="shared" si="68"/>
        <v>377.37859918484293</v>
      </c>
      <c r="V93" s="1421">
        <f t="shared" si="68"/>
        <v>348.05323657630424</v>
      </c>
      <c r="W93" s="1421">
        <f t="shared" si="68"/>
        <v>320.97422620338648</v>
      </c>
      <c r="X93" s="1421">
        <f t="shared" si="68"/>
        <v>295.97272439842772</v>
      </c>
      <c r="Y93" s="1421">
        <f t="shared" si="68"/>
        <v>272.8922525382867</v>
      </c>
      <c r="Z93" s="1421">
        <f t="shared" si="68"/>
        <v>251.5878250131247</v>
      </c>
      <c r="AA93" s="1421">
        <f t="shared" si="68"/>
        <v>231.92513515784401</v>
      </c>
      <c r="AB93" s="1421">
        <f t="shared" si="68"/>
        <v>235.58835174426909</v>
      </c>
    </row>
    <row r="94" spans="1:29" x14ac:dyDescent="0.25">
      <c r="A94" s="1304"/>
      <c r="B94" s="1304" t="s">
        <v>314</v>
      </c>
      <c r="C94" s="1304"/>
      <c r="D94" s="1424">
        <f>+SUM(E93:N93)</f>
        <v>9646.8857591285177</v>
      </c>
      <c r="E94" s="1424">
        <f>+SUM(F93:O93)/E92</f>
        <v>9848.0878548456712</v>
      </c>
      <c r="F94" s="1424">
        <f t="shared" ref="F94:Q94" si="69">+SUM(G93:P93)/F92</f>
        <v>10049.278626042278</v>
      </c>
      <c r="G94" s="1424">
        <f t="shared" si="69"/>
        <v>10250.347614691087</v>
      </c>
      <c r="H94" s="1424">
        <f t="shared" si="69"/>
        <v>10451.116940625187</v>
      </c>
      <c r="I94" s="1424">
        <f t="shared" si="69"/>
        <v>10651.389543471822</v>
      </c>
      <c r="J94" s="1424">
        <f t="shared" si="69"/>
        <v>10850.947273091961</v>
      </c>
      <c r="K94" s="1424">
        <f t="shared" si="69"/>
        <v>11049.548789828281</v>
      </c>
      <c r="L94" s="1424">
        <f t="shared" si="69"/>
        <v>11246.927255435046</v>
      </c>
      <c r="M94" s="1424">
        <f t="shared" si="69"/>
        <v>11442.787793634154</v>
      </c>
      <c r="N94" s="1424">
        <f t="shared" si="69"/>
        <v>11636.804697117313</v>
      </c>
      <c r="O94" s="1424">
        <f t="shared" si="69"/>
        <v>11832.033919861497</v>
      </c>
      <c r="P94" s="1424">
        <f t="shared" si="69"/>
        <v>12028.369257325243</v>
      </c>
      <c r="Q94" s="1424">
        <f t="shared" si="69"/>
        <v>12225.691656543346</v>
      </c>
    </row>
    <row r="95" spans="1:29" ht="16.5" thickBot="1" x14ac:dyDescent="0.3">
      <c r="A95" s="1304"/>
      <c r="B95" s="1304" t="s">
        <v>315</v>
      </c>
      <c r="C95" s="1304"/>
      <c r="D95" s="1424">
        <f>+O90/(O91-O$29)*N92</f>
        <v>7314.0646798090274</v>
      </c>
      <c r="E95" s="1424">
        <f t="shared" ref="E95:Q95" si="70">+P90/(P91-P$29)*O92/E92</f>
        <v>7454.4941847402151</v>
      </c>
      <c r="F95" s="1424">
        <f t="shared" si="70"/>
        <v>7596.0573418609756</v>
      </c>
      <c r="G95" s="1424">
        <f t="shared" si="70"/>
        <v>7731.5189024343281</v>
      </c>
      <c r="H95" s="1424">
        <f t="shared" si="70"/>
        <v>7867.5718423572453</v>
      </c>
      <c r="I95" s="1424">
        <f t="shared" si="70"/>
        <v>8004.2251879935384</v>
      </c>
      <c r="J95" s="1424">
        <f t="shared" si="70"/>
        <v>8141.4882089993816</v>
      </c>
      <c r="K95" s="1424">
        <f t="shared" si="70"/>
        <v>8279.3704269686987</v>
      </c>
      <c r="L95" s="1424">
        <f t="shared" si="70"/>
        <v>8417.8816242162138</v>
      </c>
      <c r="M95" s="1424">
        <f t="shared" si="70"/>
        <v>8557.031852688835</v>
      </c>
      <c r="N95" s="1424">
        <f t="shared" si="70"/>
        <v>8696.8314429893217</v>
      </c>
      <c r="O95" s="1424">
        <f t="shared" si="70"/>
        <v>8837.2910134902977</v>
      </c>
      <c r="P95" s="1424">
        <f t="shared" si="70"/>
        <v>8978.4214795116204</v>
      </c>
      <c r="Q95" s="1424">
        <f t="shared" si="70"/>
        <v>-83919.02403407266</v>
      </c>
    </row>
    <row r="96" spans="1:29" ht="16.5" thickBot="1" x14ac:dyDescent="0.3">
      <c r="A96" s="671"/>
      <c r="B96" s="1147" t="s">
        <v>300</v>
      </c>
      <c r="C96" s="1148"/>
      <c r="D96" s="1426">
        <f>+D94+D95</f>
        <v>16960.950438937543</v>
      </c>
      <c r="E96" s="1426">
        <f t="shared" ref="E96:Q96" si="71">+E94+E95</f>
        <v>17302.582039585886</v>
      </c>
      <c r="F96" s="1426">
        <f t="shared" si="71"/>
        <v>17645.335967903255</v>
      </c>
      <c r="G96" s="1426">
        <f t="shared" si="71"/>
        <v>17981.866517125414</v>
      </c>
      <c r="H96" s="1426">
        <f t="shared" si="71"/>
        <v>18318.688782982434</v>
      </c>
      <c r="I96" s="1426">
        <f t="shared" si="71"/>
        <v>18655.614731465361</v>
      </c>
      <c r="J96" s="1426">
        <f t="shared" si="71"/>
        <v>18992.435482091343</v>
      </c>
      <c r="K96" s="1426">
        <f t="shared" si="71"/>
        <v>19328.919216796981</v>
      </c>
      <c r="L96" s="1426">
        <f t="shared" si="71"/>
        <v>19664.80887965126</v>
      </c>
      <c r="M96" s="1426">
        <f t="shared" si="71"/>
        <v>19999.819646322991</v>
      </c>
      <c r="N96" s="1426">
        <f t="shared" si="71"/>
        <v>20333.636140106635</v>
      </c>
      <c r="O96" s="1426">
        <f t="shared" si="71"/>
        <v>20669.324933351796</v>
      </c>
      <c r="P96" s="1426">
        <f t="shared" si="71"/>
        <v>21006.790736836861</v>
      </c>
      <c r="Q96" s="1426">
        <f t="shared" si="71"/>
        <v>-71693.33237752931</v>
      </c>
    </row>
    <row r="97" spans="1:29" ht="16.5" thickBot="1" x14ac:dyDescent="0.3">
      <c r="A97" s="671"/>
      <c r="B97" s="1304" t="s">
        <v>301</v>
      </c>
      <c r="C97" s="768"/>
      <c r="D97" s="1128">
        <f t="shared" ref="D97:Q97" si="72">-D14</f>
        <v>-10764.481</v>
      </c>
      <c r="E97" s="1128">
        <f t="shared" si="72"/>
        <v>-11140.85125</v>
      </c>
      <c r="F97" s="1128">
        <f t="shared" si="72"/>
        <v>-11517.2215</v>
      </c>
      <c r="G97" s="1128">
        <f t="shared" si="72"/>
        <v>-11893.59175</v>
      </c>
      <c r="H97" s="1128">
        <f t="shared" si="72"/>
        <v>-12269.962</v>
      </c>
      <c r="I97" s="1128">
        <f t="shared" si="72"/>
        <v>-12646.332249999999</v>
      </c>
      <c r="J97" s="1128">
        <f t="shared" si="72"/>
        <v>-13022.702499999999</v>
      </c>
      <c r="K97" s="1128">
        <f t="shared" si="72"/>
        <v>-13399.072749999999</v>
      </c>
      <c r="L97" s="1128">
        <f t="shared" si="72"/>
        <v>-13775.442999999999</v>
      </c>
      <c r="M97" s="1128">
        <f t="shared" si="72"/>
        <v>-14151.813249999999</v>
      </c>
      <c r="N97" s="1128">
        <f t="shared" si="72"/>
        <v>-14528.183499999999</v>
      </c>
      <c r="O97" s="1128">
        <f t="shared" si="72"/>
        <v>-14904.553749999999</v>
      </c>
      <c r="P97" s="1128">
        <f t="shared" si="72"/>
        <v>-15280.923999999999</v>
      </c>
      <c r="Q97" s="1128">
        <f t="shared" si="72"/>
        <v>-15657.294249999999</v>
      </c>
    </row>
    <row r="98" spans="1:29" ht="16.5" thickBot="1" x14ac:dyDescent="0.3">
      <c r="A98" s="1427" t="s">
        <v>316</v>
      </c>
      <c r="B98" s="1428" t="s">
        <v>303</v>
      </c>
      <c r="C98" s="1429"/>
      <c r="D98" s="1430">
        <f t="shared" ref="D98:Q98" si="73">+D96+D97</f>
        <v>6196.4694389375436</v>
      </c>
      <c r="E98" s="1430">
        <f t="shared" si="73"/>
        <v>6161.7307895858867</v>
      </c>
      <c r="F98" s="1430">
        <f t="shared" si="73"/>
        <v>6128.114467903255</v>
      </c>
      <c r="G98" s="1430">
        <f t="shared" si="73"/>
        <v>6088.2747671254147</v>
      </c>
      <c r="H98" s="1430">
        <f t="shared" si="73"/>
        <v>6048.7267829824341</v>
      </c>
      <c r="I98" s="1430">
        <f t="shared" si="73"/>
        <v>6009.2824814653613</v>
      </c>
      <c r="J98" s="1430">
        <f t="shared" si="73"/>
        <v>5969.7329820913437</v>
      </c>
      <c r="K98" s="1430">
        <f t="shared" si="73"/>
        <v>5929.846466796982</v>
      </c>
      <c r="L98" s="1430">
        <f t="shared" si="73"/>
        <v>5889.3658796512609</v>
      </c>
      <c r="M98" s="1430">
        <f t="shared" si="73"/>
        <v>5848.0063963229913</v>
      </c>
      <c r="N98" s="1430">
        <f t="shared" si="73"/>
        <v>5805.452640106636</v>
      </c>
      <c r="O98" s="1430">
        <f t="shared" si="73"/>
        <v>5764.7711833517969</v>
      </c>
      <c r="P98" s="1430">
        <f t="shared" si="73"/>
        <v>5725.8667368368624</v>
      </c>
      <c r="Q98" s="1430">
        <f t="shared" si="73"/>
        <v>-87350.626627529302</v>
      </c>
    </row>
    <row r="99" spans="1:29" ht="16.5" thickBot="1" x14ac:dyDescent="0.3"/>
    <row r="100" spans="1:29" x14ac:dyDescent="0.25">
      <c r="A100" s="1304"/>
      <c r="B100" s="1304" t="s">
        <v>317</v>
      </c>
      <c r="C100" s="1304"/>
      <c r="D100" s="1046">
        <v>0</v>
      </c>
      <c r="E100" s="1046">
        <v>1</v>
      </c>
      <c r="F100" s="1046">
        <f t="shared" ref="F100:N100" si="74">E100+1</f>
        <v>2</v>
      </c>
      <c r="G100" s="1046">
        <f t="shared" si="74"/>
        <v>3</v>
      </c>
      <c r="H100" s="1046">
        <f t="shared" si="74"/>
        <v>4</v>
      </c>
      <c r="I100" s="1046">
        <f t="shared" si="74"/>
        <v>5</v>
      </c>
      <c r="J100" s="1046">
        <f t="shared" si="74"/>
        <v>6</v>
      </c>
      <c r="K100" s="1046">
        <f t="shared" si="74"/>
        <v>7</v>
      </c>
      <c r="L100" s="1046">
        <f t="shared" si="74"/>
        <v>8</v>
      </c>
      <c r="M100" s="1046">
        <f t="shared" si="74"/>
        <v>9</v>
      </c>
      <c r="N100" s="1046">
        <f t="shared" si="74"/>
        <v>10</v>
      </c>
      <c r="O100" s="1046">
        <f>N100+1</f>
        <v>11</v>
      </c>
      <c r="P100" s="1046">
        <f t="shared" ref="P100:AB100" si="75">O100+1</f>
        <v>12</v>
      </c>
      <c r="Q100" s="1046">
        <f t="shared" si="75"/>
        <v>13</v>
      </c>
      <c r="R100" s="1046">
        <f t="shared" si="75"/>
        <v>14</v>
      </c>
      <c r="S100" s="1046">
        <f t="shared" si="75"/>
        <v>15</v>
      </c>
      <c r="T100" s="1046">
        <f t="shared" si="75"/>
        <v>16</v>
      </c>
      <c r="U100" s="1046">
        <f t="shared" si="75"/>
        <v>17</v>
      </c>
      <c r="V100" s="1046">
        <f t="shared" si="75"/>
        <v>18</v>
      </c>
      <c r="W100" s="1046">
        <f t="shared" si="75"/>
        <v>19</v>
      </c>
      <c r="X100" s="1046">
        <f t="shared" si="75"/>
        <v>20</v>
      </c>
      <c r="Y100" s="1046">
        <f t="shared" si="75"/>
        <v>21</v>
      </c>
      <c r="Z100" s="1046">
        <f t="shared" si="75"/>
        <v>22</v>
      </c>
      <c r="AA100" s="1046">
        <f t="shared" si="75"/>
        <v>23</v>
      </c>
      <c r="AB100" s="1046">
        <f t="shared" si="75"/>
        <v>24</v>
      </c>
    </row>
    <row r="101" spans="1:29" x14ac:dyDescent="0.25">
      <c r="A101" s="1304"/>
      <c r="B101" s="1304" t="s">
        <v>292</v>
      </c>
      <c r="C101" s="1304"/>
      <c r="D101" s="1431">
        <f t="shared" ref="D101:AB101" si="76">+D61</f>
        <v>0</v>
      </c>
      <c r="E101" s="1421">
        <f t="shared" si="76"/>
        <v>1081.0895550625003</v>
      </c>
      <c r="F101" s="1421">
        <f t="shared" si="76"/>
        <v>1086.3495370625003</v>
      </c>
      <c r="G101" s="1421">
        <f t="shared" si="76"/>
        <v>1091.8333673462505</v>
      </c>
      <c r="H101" s="1421">
        <f t="shared" si="76"/>
        <v>1097.543284396588</v>
      </c>
      <c r="I101" s="1421">
        <f t="shared" si="76"/>
        <v>1103.4815490811789</v>
      </c>
      <c r="J101" s="1421">
        <f t="shared" si="76"/>
        <v>1109.6504448763653</v>
      </c>
      <c r="K101" s="1421">
        <f t="shared" si="76"/>
        <v>1116.0522780932545</v>
      </c>
      <c r="L101" s="1421">
        <f t="shared" si="76"/>
        <v>1122.6893781060619</v>
      </c>
      <c r="M101" s="1421">
        <f t="shared" si="76"/>
        <v>1129.5640975827471</v>
      </c>
      <c r="N101" s="1421">
        <f t="shared" si="76"/>
        <v>1136.6788127179498</v>
      </c>
      <c r="O101" s="1421">
        <f t="shared" si="76"/>
        <v>1140.620359082629</v>
      </c>
      <c r="P101" s="1421">
        <f t="shared" si="76"/>
        <v>1144.864780085956</v>
      </c>
      <c r="Q101" s="1421">
        <f t="shared" si="76"/>
        <v>1149.4151044743151</v>
      </c>
      <c r="R101" s="1421">
        <f t="shared" si="76"/>
        <v>1154.2743912815588</v>
      </c>
      <c r="S101" s="1421">
        <f t="shared" si="76"/>
        <v>1159.4457301318751</v>
      </c>
      <c r="T101" s="1421">
        <f t="shared" si="76"/>
        <v>1164.9322415456936</v>
      </c>
      <c r="U101" s="1421">
        <f t="shared" si="76"/>
        <v>1170.7370772486502</v>
      </c>
      <c r="V101" s="1421">
        <f t="shared" si="76"/>
        <v>1176.8634204836362</v>
      </c>
      <c r="W101" s="1421">
        <f t="shared" si="76"/>
        <v>1183.3144863259731</v>
      </c>
      <c r="X101" s="1421">
        <f t="shared" si="76"/>
        <v>1190.0935220017332</v>
      </c>
      <c r="Y101" s="1421">
        <f t="shared" si="76"/>
        <v>1197.2038072092505</v>
      </c>
      <c r="Z101" s="1421">
        <f t="shared" si="76"/>
        <v>1204.648654443844</v>
      </c>
      <c r="AA101" s="1421">
        <f t="shared" si="76"/>
        <v>1212.4314093257781</v>
      </c>
      <c r="AB101" s="1421">
        <f t="shared" si="76"/>
        <v>1220.5554509315361</v>
      </c>
    </row>
    <row r="102" spans="1:29" x14ac:dyDescent="0.25">
      <c r="A102" s="1304"/>
      <c r="B102" s="1304" t="s">
        <v>276</v>
      </c>
      <c r="C102" s="1304"/>
      <c r="D102" s="1422">
        <f t="shared" ref="D102:AB102" si="77">+D39</f>
        <v>0.15840703234909403</v>
      </c>
      <c r="E102" s="1422">
        <f t="shared" si="77"/>
        <v>0.16018723924555089</v>
      </c>
      <c r="F102" s="1422">
        <f t="shared" si="77"/>
        <v>0.16196174057037233</v>
      </c>
      <c r="G102" s="1422">
        <f t="shared" si="77"/>
        <v>0.16372844370562148</v>
      </c>
      <c r="H102" s="1422">
        <f t="shared" si="77"/>
        <v>0.16548522264464821</v>
      </c>
      <c r="I102" s="1422">
        <f t="shared" si="77"/>
        <v>0.16722992511856988</v>
      </c>
      <c r="J102" s="1422">
        <f t="shared" si="77"/>
        <v>0.16896038012194692</v>
      </c>
      <c r="K102" s="1422">
        <f t="shared" si="77"/>
        <v>0.17067440579245169</v>
      </c>
      <c r="L102" s="1422">
        <f t="shared" si="77"/>
        <v>0.17236981759351633</v>
      </c>
      <c r="M102" s="1422">
        <f t="shared" si="77"/>
        <v>0.17404443674356843</v>
      </c>
      <c r="N102" s="1422">
        <f t="shared" si="77"/>
        <v>0.17569609883064338</v>
      </c>
      <c r="O102" s="1422">
        <f t="shared" si="77"/>
        <v>0.17732266254700255</v>
      </c>
      <c r="P102" s="1422">
        <f t="shared" si="77"/>
        <v>0.17892201847499931</v>
      </c>
      <c r="Q102" s="1422">
        <f t="shared" si="77"/>
        <v>0.18049209785289813</v>
      </c>
      <c r="R102" s="1422">
        <f t="shared" si="77"/>
        <v>0.18049209785289813</v>
      </c>
      <c r="S102" s="1422">
        <f t="shared" si="77"/>
        <v>0.18049209785289813</v>
      </c>
      <c r="T102" s="1422">
        <f t="shared" si="77"/>
        <v>0.18049209785289813</v>
      </c>
      <c r="U102" s="1422">
        <f t="shared" si="77"/>
        <v>0.18049209785289813</v>
      </c>
      <c r="V102" s="1422">
        <f t="shared" si="77"/>
        <v>0.18049209785289813</v>
      </c>
      <c r="W102" s="1422">
        <f t="shared" si="77"/>
        <v>0.18049209785289813</v>
      </c>
      <c r="X102" s="1422">
        <f t="shared" si="77"/>
        <v>0.18049209785289813</v>
      </c>
      <c r="Y102" s="1422">
        <f t="shared" si="77"/>
        <v>0.18049209785289813</v>
      </c>
      <c r="Z102" s="1422">
        <f t="shared" si="77"/>
        <v>0.18049209785289813</v>
      </c>
      <c r="AA102" s="1422">
        <f t="shared" si="77"/>
        <v>0.18049209785289813</v>
      </c>
      <c r="AB102" s="1422">
        <f t="shared" si="77"/>
        <v>0</v>
      </c>
      <c r="AC102" s="1422"/>
    </row>
    <row r="103" spans="1:29" x14ac:dyDescent="0.25">
      <c r="A103" s="1304"/>
      <c r="B103" s="1304" t="s">
        <v>318</v>
      </c>
      <c r="C103" s="1304"/>
      <c r="D103" s="1421">
        <f>1/(1+D102)^D100</f>
        <v>1</v>
      </c>
      <c r="E103" s="1423">
        <f>+D103/(1+E102)</f>
        <v>0.86192983871317363</v>
      </c>
      <c r="F103" s="1423">
        <f>+E103/(1+F102)</f>
        <v>0.74178848461058444</v>
      </c>
      <c r="G103" s="1423">
        <f t="shared" ref="G103:N103" si="78">+F103/(1+G102)</f>
        <v>0.6374240387633151</v>
      </c>
      <c r="H103" s="1423">
        <f t="shared" si="78"/>
        <v>0.54691730652484061</v>
      </c>
      <c r="I103" s="1423">
        <f t="shared" si="78"/>
        <v>0.46856004524497052</v>
      </c>
      <c r="J103" s="1423">
        <f t="shared" si="78"/>
        <v>0.40083483855636742</v>
      </c>
      <c r="K103" s="1423">
        <f t="shared" si="78"/>
        <v>0.34239651654896713</v>
      </c>
      <c r="L103" s="1423">
        <f t="shared" si="78"/>
        <v>0.29205504219802658</v>
      </c>
      <c r="M103" s="1423">
        <f t="shared" si="78"/>
        <v>0.24875978545419949</v>
      </c>
      <c r="N103" s="1423">
        <f t="shared" si="78"/>
        <v>0.21158510749641676</v>
      </c>
      <c r="O103" s="1421">
        <f t="shared" ref="O103:AB103" si="79">1/(1+O102)^O100</f>
        <v>0.16601581308437882</v>
      </c>
      <c r="P103" s="1421">
        <f t="shared" si="79"/>
        <v>0.13873276818576991</v>
      </c>
      <c r="Q103" s="1421">
        <f t="shared" si="79"/>
        <v>0.11565912551636304</v>
      </c>
      <c r="R103" s="1421">
        <f t="shared" si="79"/>
        <v>9.7975349201173054E-2</v>
      </c>
      <c r="S103" s="1421">
        <f t="shared" si="79"/>
        <v>8.2995345228801198E-2</v>
      </c>
      <c r="T103" s="1421">
        <f t="shared" si="79"/>
        <v>7.0305718589522725E-2</v>
      </c>
      <c r="U103" s="1421">
        <f t="shared" si="79"/>
        <v>5.9556280569261023E-2</v>
      </c>
      <c r="V103" s="1421">
        <f t="shared" si="79"/>
        <v>5.0450384782399757E-2</v>
      </c>
      <c r="W103" s="1421">
        <f t="shared" si="79"/>
        <v>4.2736740783068258E-2</v>
      </c>
      <c r="X103" s="1421">
        <f t="shared" si="79"/>
        <v>3.620247933958954E-2</v>
      </c>
      <c r="Y103" s="1421">
        <f t="shared" si="79"/>
        <v>3.0667277998247772E-2</v>
      </c>
      <c r="Z103" s="1421">
        <f t="shared" si="79"/>
        <v>2.5978384822758247E-2</v>
      </c>
      <c r="AA103" s="1421">
        <f t="shared" si="79"/>
        <v>2.2006402982288686E-2</v>
      </c>
      <c r="AB103" s="1421">
        <f t="shared" si="79"/>
        <v>1</v>
      </c>
    </row>
    <row r="104" spans="1:29" x14ac:dyDescent="0.25">
      <c r="A104" s="1304"/>
      <c r="B104" s="1304" t="s">
        <v>319</v>
      </c>
      <c r="C104" s="1304"/>
      <c r="D104" s="1421">
        <f>+D101*D103</f>
        <v>0</v>
      </c>
      <c r="E104" s="1421">
        <f>+E101*E103</f>
        <v>931.82334582951751</v>
      </c>
      <c r="F104" s="1421">
        <f t="shared" ref="F104:AB104" si="80">+F101*F103</f>
        <v>805.84157685500202</v>
      </c>
      <c r="G104" s="1421">
        <f t="shared" si="80"/>
        <v>695.96083467039728</v>
      </c>
      <c r="H104" s="1421">
        <f t="shared" si="80"/>
        <v>600.26541689660905</v>
      </c>
      <c r="I104" s="1421">
        <f t="shared" si="80"/>
        <v>517.04736456446733</v>
      </c>
      <c r="J104" s="1421">
        <f t="shared" si="80"/>
        <v>444.78655692601916</v>
      </c>
      <c r="K104" s="1421">
        <f t="shared" si="80"/>
        <v>382.13241230566945</v>
      </c>
      <c r="L104" s="1421">
        <f t="shared" si="80"/>
        <v>327.88709369804212</v>
      </c>
      <c r="M104" s="1421">
        <f t="shared" si="80"/>
        <v>280.99012257145063</v>
      </c>
      <c r="N104" s="1421">
        <f t="shared" si="80"/>
        <v>240.50430877782679</v>
      </c>
      <c r="O104" s="1421">
        <f t="shared" si="80"/>
        <v>189.36101633369879</v>
      </c>
      <c r="P104" s="1421">
        <f t="shared" si="80"/>
        <v>158.83026013971738</v>
      </c>
      <c r="Q104" s="1421">
        <f t="shared" si="80"/>
        <v>132.94034583879835</v>
      </c>
      <c r="R104" s="1421">
        <f t="shared" si="80"/>
        <v>113.09043655978219</v>
      </c>
      <c r="S104" s="1421">
        <f t="shared" si="80"/>
        <v>96.228598646354442</v>
      </c>
      <c r="T104" s="1421">
        <f t="shared" si="80"/>
        <v>81.901398349973448</v>
      </c>
      <c r="U104" s="1421">
        <f t="shared" si="80"/>
        <v>69.724745845457221</v>
      </c>
      <c r="V104" s="1421">
        <f t="shared" si="80"/>
        <v>59.373212399730569</v>
      </c>
      <c r="W104" s="1421">
        <f t="shared" si="80"/>
        <v>50.571004466962684</v>
      </c>
      <c r="X104" s="1421">
        <f t="shared" si="80"/>
        <v>43.084336142447093</v>
      </c>
      <c r="Y104" s="1421">
        <f t="shared" si="80"/>
        <v>36.714981976246719</v>
      </c>
      <c r="Z104" s="1421">
        <f t="shared" si="80"/>
        <v>31.294826321360102</v>
      </c>
      <c r="AA104" s="1421">
        <f t="shared" si="80"/>
        <v>26.681254182007276</v>
      </c>
      <c r="AB104" s="1421">
        <f t="shared" si="80"/>
        <v>1220.5554509315361</v>
      </c>
    </row>
    <row r="105" spans="1:29" x14ac:dyDescent="0.25">
      <c r="A105" s="1304"/>
      <c r="B105" s="1304" t="s">
        <v>320</v>
      </c>
      <c r="C105" s="1304"/>
      <c r="D105" s="1424">
        <f>+SUM(E104:N104)</f>
        <v>5227.2390330950011</v>
      </c>
      <c r="E105" s="1424">
        <f>+SUM(F104:O104)/E103</f>
        <v>5203.180702381499</v>
      </c>
      <c r="F105" s="1424">
        <f t="shared" ref="F105:N105" si="81">+SUM(G104:P104)/F103</f>
        <v>5173.6653594705012</v>
      </c>
      <c r="G105" s="1424">
        <f t="shared" si="81"/>
        <v>5137.466896299874</v>
      </c>
      <c r="H105" s="1424">
        <f t="shared" si="81"/>
        <v>5096.8764097591456</v>
      </c>
      <c r="I105" s="1424">
        <f t="shared" si="81"/>
        <v>5051.1160219817393</v>
      </c>
      <c r="J105" s="1424">
        <f t="shared" si="81"/>
        <v>4999.2311058548858</v>
      </c>
      <c r="K105" s="1424">
        <f t="shared" si="81"/>
        <v>4940.0570537615295</v>
      </c>
      <c r="L105" s="1424">
        <f t="shared" si="81"/>
        <v>4872.1790069214712</v>
      </c>
      <c r="M105" s="1424">
        <f t="shared" si="81"/>
        <v>4793.8830835575891</v>
      </c>
      <c r="N105" s="1424">
        <f t="shared" si="81"/>
        <v>4703.0973327826232</v>
      </c>
      <c r="O105" s="1421"/>
    </row>
    <row r="106" spans="1:29" ht="16.5" thickBot="1" x14ac:dyDescent="0.3">
      <c r="A106" s="1304"/>
      <c r="B106" s="1304" t="s">
        <v>321</v>
      </c>
      <c r="C106" s="1304"/>
      <c r="D106" s="1424">
        <f>+O101/(O102-O$29)*D103*N103</f>
        <v>1442.3526234607061</v>
      </c>
      <c r="E106" s="1424">
        <f t="shared" ref="E106:N106" si="82">+P101/(P102-P$29)*O103/E103</f>
        <v>1305.4056081776091</v>
      </c>
      <c r="F106" s="1424">
        <f t="shared" si="82"/>
        <v>1260.8737698035777</v>
      </c>
      <c r="G106" s="1424">
        <f t="shared" si="82"/>
        <v>1228.446571227659</v>
      </c>
      <c r="H106" s="1424">
        <f t="shared" si="82"/>
        <v>1218.2637580346352</v>
      </c>
      <c r="I106" s="1424">
        <f t="shared" si="82"/>
        <v>1210.2773159673841</v>
      </c>
      <c r="J106" s="1424">
        <f t="shared" si="82"/>
        <v>1204.426516485561</v>
      </c>
      <c r="K106" s="1424">
        <f t="shared" si="82"/>
        <v>1200.6599911437338</v>
      </c>
      <c r="L106" s="1424">
        <f t="shared" si="82"/>
        <v>1198.9351723358086</v>
      </c>
      <c r="M106" s="1424">
        <f t="shared" si="82"/>
        <v>1199.2177875796385</v>
      </c>
      <c r="N106" s="1424">
        <f t="shared" si="82"/>
        <v>1201.48140164808</v>
      </c>
      <c r="O106" s="1421"/>
    </row>
    <row r="107" spans="1:29" ht="16.5" thickBot="1" x14ac:dyDescent="0.3">
      <c r="A107" s="671"/>
      <c r="B107" s="1147" t="s">
        <v>300</v>
      </c>
      <c r="C107" s="1148"/>
      <c r="D107" s="1426">
        <f>+D105+D106</f>
        <v>6669.5916565557072</v>
      </c>
      <c r="E107" s="1426">
        <f t="shared" ref="E107:N107" si="83">+E105+E106</f>
        <v>6508.5863105591079</v>
      </c>
      <c r="F107" s="1426">
        <f t="shared" si="83"/>
        <v>6434.5391292740787</v>
      </c>
      <c r="G107" s="1426">
        <f t="shared" si="83"/>
        <v>6365.9134675275327</v>
      </c>
      <c r="H107" s="1426">
        <f t="shared" si="83"/>
        <v>6315.1401677937811</v>
      </c>
      <c r="I107" s="1426">
        <f t="shared" si="83"/>
        <v>6261.3933379491236</v>
      </c>
      <c r="J107" s="1426">
        <f t="shared" si="83"/>
        <v>6203.6576223404463</v>
      </c>
      <c r="K107" s="1426">
        <f t="shared" si="83"/>
        <v>6140.7170449052628</v>
      </c>
      <c r="L107" s="1426">
        <f t="shared" si="83"/>
        <v>6071.1141792572798</v>
      </c>
      <c r="M107" s="1426">
        <f t="shared" si="83"/>
        <v>5993.1008711372278</v>
      </c>
      <c r="N107" s="1426">
        <f t="shared" si="83"/>
        <v>5904.5787344307028</v>
      </c>
      <c r="O107" s="671"/>
    </row>
    <row r="108" spans="1:29" ht="16.5" thickBot="1" x14ac:dyDescent="0.3">
      <c r="A108" s="671"/>
      <c r="B108" s="1304" t="s">
        <v>301</v>
      </c>
      <c r="C108" s="671"/>
      <c r="D108" s="1128"/>
      <c r="E108" s="1128"/>
      <c r="F108" s="1128"/>
      <c r="G108" s="1128"/>
      <c r="H108" s="1128"/>
      <c r="I108" s="1128"/>
      <c r="J108" s="1128"/>
      <c r="K108" s="1128"/>
      <c r="L108" s="1128"/>
      <c r="M108" s="1128"/>
      <c r="N108" s="1128"/>
      <c r="O108" s="671"/>
    </row>
    <row r="109" spans="1:29" ht="16.5" thickBot="1" x14ac:dyDescent="0.3">
      <c r="A109" s="1427" t="s">
        <v>322</v>
      </c>
      <c r="B109" s="1428" t="s">
        <v>303</v>
      </c>
      <c r="C109" s="1429"/>
      <c r="D109" s="1430">
        <f t="shared" ref="D109:N109" si="84">+D107+D108</f>
        <v>6669.5916565557072</v>
      </c>
      <c r="E109" s="1430">
        <f t="shared" si="84"/>
        <v>6508.5863105591079</v>
      </c>
      <c r="F109" s="1430">
        <f t="shared" si="84"/>
        <v>6434.5391292740787</v>
      </c>
      <c r="G109" s="1430">
        <f t="shared" si="84"/>
        <v>6365.9134675275327</v>
      </c>
      <c r="H109" s="1430">
        <f t="shared" si="84"/>
        <v>6315.1401677937811</v>
      </c>
      <c r="I109" s="1430">
        <f t="shared" si="84"/>
        <v>6261.3933379491236</v>
      </c>
      <c r="J109" s="1430">
        <f t="shared" si="84"/>
        <v>6203.6576223404463</v>
      </c>
      <c r="K109" s="1430">
        <f t="shared" si="84"/>
        <v>6140.7170449052628</v>
      </c>
      <c r="L109" s="1430">
        <f t="shared" si="84"/>
        <v>6071.1141792572798</v>
      </c>
      <c r="M109" s="1430">
        <f t="shared" si="84"/>
        <v>5993.1008711372278</v>
      </c>
      <c r="N109" s="1430">
        <f t="shared" si="84"/>
        <v>5904.5787344307028</v>
      </c>
      <c r="O109" s="67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9"/>
  <sheetViews>
    <sheetView showGridLines="0" topLeftCell="A29" workbookViewId="0">
      <selection activeCell="C52" sqref="C52"/>
    </sheetView>
  </sheetViews>
  <sheetFormatPr baseColWidth="10" defaultColWidth="11.42578125" defaultRowHeight="15.75" x14ac:dyDescent="0.25"/>
  <cols>
    <col min="1" max="1" width="7.7109375" style="813" customWidth="1"/>
    <col min="2" max="2" width="54.7109375" style="813" customWidth="1"/>
    <col min="3" max="3" width="58.28515625" style="813" customWidth="1"/>
    <col min="4" max="4" width="15.42578125" style="813" bestFit="1" customWidth="1"/>
    <col min="5" max="15" width="17.7109375" style="813" bestFit="1" customWidth="1"/>
    <col min="16" max="27" width="17.7109375" style="671" bestFit="1" customWidth="1"/>
    <col min="28" max="28" width="17.7109375" style="671" customWidth="1"/>
    <col min="29" max="256" width="11.42578125" style="671"/>
    <col min="257" max="257" width="7.7109375" style="671" customWidth="1"/>
    <col min="258" max="258" width="54.7109375" style="671" customWidth="1"/>
    <col min="259" max="259" width="58.28515625" style="671" customWidth="1"/>
    <col min="260" max="260" width="15.42578125" style="671" bestFit="1" customWidth="1"/>
    <col min="261" max="283" width="17.7109375" style="671" bestFit="1" customWidth="1"/>
    <col min="284" max="284" width="17.7109375" style="671" customWidth="1"/>
    <col min="285" max="512" width="11.42578125" style="671"/>
    <col min="513" max="513" width="7.7109375" style="671" customWidth="1"/>
    <col min="514" max="514" width="54.7109375" style="671" customWidth="1"/>
    <col min="515" max="515" width="58.28515625" style="671" customWidth="1"/>
    <col min="516" max="516" width="15.42578125" style="671" bestFit="1" customWidth="1"/>
    <col min="517" max="539" width="17.7109375" style="671" bestFit="1" customWidth="1"/>
    <col min="540" max="540" width="17.7109375" style="671" customWidth="1"/>
    <col min="541" max="768" width="11.42578125" style="671"/>
    <col min="769" max="769" width="7.7109375" style="671" customWidth="1"/>
    <col min="770" max="770" width="54.7109375" style="671" customWidth="1"/>
    <col min="771" max="771" width="58.28515625" style="671" customWidth="1"/>
    <col min="772" max="772" width="15.42578125" style="671" bestFit="1" customWidth="1"/>
    <col min="773" max="795" width="17.7109375" style="671" bestFit="1" customWidth="1"/>
    <col min="796" max="796" width="17.7109375" style="671" customWidth="1"/>
    <col min="797" max="1024" width="11.42578125" style="671"/>
    <col min="1025" max="1025" width="7.7109375" style="671" customWidth="1"/>
    <col min="1026" max="1026" width="54.7109375" style="671" customWidth="1"/>
    <col min="1027" max="1027" width="58.28515625" style="671" customWidth="1"/>
    <col min="1028" max="1028" width="15.42578125" style="671" bestFit="1" customWidth="1"/>
    <col min="1029" max="1051" width="17.7109375" style="671" bestFit="1" customWidth="1"/>
    <col min="1052" max="1052" width="17.7109375" style="671" customWidth="1"/>
    <col min="1053" max="1280" width="11.42578125" style="671"/>
    <col min="1281" max="1281" width="7.7109375" style="671" customWidth="1"/>
    <col min="1282" max="1282" width="54.7109375" style="671" customWidth="1"/>
    <col min="1283" max="1283" width="58.28515625" style="671" customWidth="1"/>
    <col min="1284" max="1284" width="15.42578125" style="671" bestFit="1" customWidth="1"/>
    <col min="1285" max="1307" width="17.7109375" style="671" bestFit="1" customWidth="1"/>
    <col min="1308" max="1308" width="17.7109375" style="671" customWidth="1"/>
    <col min="1309" max="1536" width="11.42578125" style="671"/>
    <col min="1537" max="1537" width="7.7109375" style="671" customWidth="1"/>
    <col min="1538" max="1538" width="54.7109375" style="671" customWidth="1"/>
    <col min="1539" max="1539" width="58.28515625" style="671" customWidth="1"/>
    <col min="1540" max="1540" width="15.42578125" style="671" bestFit="1" customWidth="1"/>
    <col min="1541" max="1563" width="17.7109375" style="671" bestFit="1" customWidth="1"/>
    <col min="1564" max="1564" width="17.7109375" style="671" customWidth="1"/>
    <col min="1565" max="1792" width="11.42578125" style="671"/>
    <col min="1793" max="1793" width="7.7109375" style="671" customWidth="1"/>
    <col min="1794" max="1794" width="54.7109375" style="671" customWidth="1"/>
    <col min="1795" max="1795" width="58.28515625" style="671" customWidth="1"/>
    <col min="1796" max="1796" width="15.42578125" style="671" bestFit="1" customWidth="1"/>
    <col min="1797" max="1819" width="17.7109375" style="671" bestFit="1" customWidth="1"/>
    <col min="1820" max="1820" width="17.7109375" style="671" customWidth="1"/>
    <col min="1821" max="2048" width="11.42578125" style="671"/>
    <col min="2049" max="2049" width="7.7109375" style="671" customWidth="1"/>
    <col min="2050" max="2050" width="54.7109375" style="671" customWidth="1"/>
    <col min="2051" max="2051" width="58.28515625" style="671" customWidth="1"/>
    <col min="2052" max="2052" width="15.42578125" style="671" bestFit="1" customWidth="1"/>
    <col min="2053" max="2075" width="17.7109375" style="671" bestFit="1" customWidth="1"/>
    <col min="2076" max="2076" width="17.7109375" style="671" customWidth="1"/>
    <col min="2077" max="2304" width="11.42578125" style="671"/>
    <col min="2305" max="2305" width="7.7109375" style="671" customWidth="1"/>
    <col min="2306" max="2306" width="54.7109375" style="671" customWidth="1"/>
    <col min="2307" max="2307" width="58.28515625" style="671" customWidth="1"/>
    <col min="2308" max="2308" width="15.42578125" style="671" bestFit="1" customWidth="1"/>
    <col min="2309" max="2331" width="17.7109375" style="671" bestFit="1" customWidth="1"/>
    <col min="2332" max="2332" width="17.7109375" style="671" customWidth="1"/>
    <col min="2333" max="2560" width="11.42578125" style="671"/>
    <col min="2561" max="2561" width="7.7109375" style="671" customWidth="1"/>
    <col min="2562" max="2562" width="54.7109375" style="671" customWidth="1"/>
    <col min="2563" max="2563" width="58.28515625" style="671" customWidth="1"/>
    <col min="2564" max="2564" width="15.42578125" style="671" bestFit="1" customWidth="1"/>
    <col min="2565" max="2587" width="17.7109375" style="671" bestFit="1" customWidth="1"/>
    <col min="2588" max="2588" width="17.7109375" style="671" customWidth="1"/>
    <col min="2589" max="2816" width="11.42578125" style="671"/>
    <col min="2817" max="2817" width="7.7109375" style="671" customWidth="1"/>
    <col min="2818" max="2818" width="54.7109375" style="671" customWidth="1"/>
    <col min="2819" max="2819" width="58.28515625" style="671" customWidth="1"/>
    <col min="2820" max="2820" width="15.42578125" style="671" bestFit="1" customWidth="1"/>
    <col min="2821" max="2843" width="17.7109375" style="671" bestFit="1" customWidth="1"/>
    <col min="2844" max="2844" width="17.7109375" style="671" customWidth="1"/>
    <col min="2845" max="3072" width="11.42578125" style="671"/>
    <col min="3073" max="3073" width="7.7109375" style="671" customWidth="1"/>
    <col min="3074" max="3074" width="54.7109375" style="671" customWidth="1"/>
    <col min="3075" max="3075" width="58.28515625" style="671" customWidth="1"/>
    <col min="3076" max="3076" width="15.42578125" style="671" bestFit="1" customWidth="1"/>
    <col min="3077" max="3099" width="17.7109375" style="671" bestFit="1" customWidth="1"/>
    <col min="3100" max="3100" width="17.7109375" style="671" customWidth="1"/>
    <col min="3101" max="3328" width="11.42578125" style="671"/>
    <col min="3329" max="3329" width="7.7109375" style="671" customWidth="1"/>
    <col min="3330" max="3330" width="54.7109375" style="671" customWidth="1"/>
    <col min="3331" max="3331" width="58.28515625" style="671" customWidth="1"/>
    <col min="3332" max="3332" width="15.42578125" style="671" bestFit="1" customWidth="1"/>
    <col min="3333" max="3355" width="17.7109375" style="671" bestFit="1" customWidth="1"/>
    <col min="3356" max="3356" width="17.7109375" style="671" customWidth="1"/>
    <col min="3357" max="3584" width="11.42578125" style="671"/>
    <col min="3585" max="3585" width="7.7109375" style="671" customWidth="1"/>
    <col min="3586" max="3586" width="54.7109375" style="671" customWidth="1"/>
    <col min="3587" max="3587" width="58.28515625" style="671" customWidth="1"/>
    <col min="3588" max="3588" width="15.42578125" style="671" bestFit="1" customWidth="1"/>
    <col min="3589" max="3611" width="17.7109375" style="671" bestFit="1" customWidth="1"/>
    <col min="3612" max="3612" width="17.7109375" style="671" customWidth="1"/>
    <col min="3613" max="3840" width="11.42578125" style="671"/>
    <col min="3841" max="3841" width="7.7109375" style="671" customWidth="1"/>
    <col min="3842" max="3842" width="54.7109375" style="671" customWidth="1"/>
    <col min="3843" max="3843" width="58.28515625" style="671" customWidth="1"/>
    <col min="3844" max="3844" width="15.42578125" style="671" bestFit="1" customWidth="1"/>
    <col min="3845" max="3867" width="17.7109375" style="671" bestFit="1" customWidth="1"/>
    <col min="3868" max="3868" width="17.7109375" style="671" customWidth="1"/>
    <col min="3869" max="4096" width="11.42578125" style="671"/>
    <col min="4097" max="4097" width="7.7109375" style="671" customWidth="1"/>
    <col min="4098" max="4098" width="54.7109375" style="671" customWidth="1"/>
    <col min="4099" max="4099" width="58.28515625" style="671" customWidth="1"/>
    <col min="4100" max="4100" width="15.42578125" style="671" bestFit="1" customWidth="1"/>
    <col min="4101" max="4123" width="17.7109375" style="671" bestFit="1" customWidth="1"/>
    <col min="4124" max="4124" width="17.7109375" style="671" customWidth="1"/>
    <col min="4125" max="4352" width="11.42578125" style="671"/>
    <col min="4353" max="4353" width="7.7109375" style="671" customWidth="1"/>
    <col min="4354" max="4354" width="54.7109375" style="671" customWidth="1"/>
    <col min="4355" max="4355" width="58.28515625" style="671" customWidth="1"/>
    <col min="4356" max="4356" width="15.42578125" style="671" bestFit="1" customWidth="1"/>
    <col min="4357" max="4379" width="17.7109375" style="671" bestFit="1" customWidth="1"/>
    <col min="4380" max="4380" width="17.7109375" style="671" customWidth="1"/>
    <col min="4381" max="4608" width="11.42578125" style="671"/>
    <col min="4609" max="4609" width="7.7109375" style="671" customWidth="1"/>
    <col min="4610" max="4610" width="54.7109375" style="671" customWidth="1"/>
    <col min="4611" max="4611" width="58.28515625" style="671" customWidth="1"/>
    <col min="4612" max="4612" width="15.42578125" style="671" bestFit="1" customWidth="1"/>
    <col min="4613" max="4635" width="17.7109375" style="671" bestFit="1" customWidth="1"/>
    <col min="4636" max="4636" width="17.7109375" style="671" customWidth="1"/>
    <col min="4637" max="4864" width="11.42578125" style="671"/>
    <col min="4865" max="4865" width="7.7109375" style="671" customWidth="1"/>
    <col min="4866" max="4866" width="54.7109375" style="671" customWidth="1"/>
    <col min="4867" max="4867" width="58.28515625" style="671" customWidth="1"/>
    <col min="4868" max="4868" width="15.42578125" style="671" bestFit="1" customWidth="1"/>
    <col min="4869" max="4891" width="17.7109375" style="671" bestFit="1" customWidth="1"/>
    <col min="4892" max="4892" width="17.7109375" style="671" customWidth="1"/>
    <col min="4893" max="5120" width="11.42578125" style="671"/>
    <col min="5121" max="5121" width="7.7109375" style="671" customWidth="1"/>
    <col min="5122" max="5122" width="54.7109375" style="671" customWidth="1"/>
    <col min="5123" max="5123" width="58.28515625" style="671" customWidth="1"/>
    <col min="5124" max="5124" width="15.42578125" style="671" bestFit="1" customWidth="1"/>
    <col min="5125" max="5147" width="17.7109375" style="671" bestFit="1" customWidth="1"/>
    <col min="5148" max="5148" width="17.7109375" style="671" customWidth="1"/>
    <col min="5149" max="5376" width="11.42578125" style="671"/>
    <col min="5377" max="5377" width="7.7109375" style="671" customWidth="1"/>
    <col min="5378" max="5378" width="54.7109375" style="671" customWidth="1"/>
    <col min="5379" max="5379" width="58.28515625" style="671" customWidth="1"/>
    <col min="5380" max="5380" width="15.42578125" style="671" bestFit="1" customWidth="1"/>
    <col min="5381" max="5403" width="17.7109375" style="671" bestFit="1" customWidth="1"/>
    <col min="5404" max="5404" width="17.7109375" style="671" customWidth="1"/>
    <col min="5405" max="5632" width="11.42578125" style="671"/>
    <col min="5633" max="5633" width="7.7109375" style="671" customWidth="1"/>
    <col min="5634" max="5634" width="54.7109375" style="671" customWidth="1"/>
    <col min="5635" max="5635" width="58.28515625" style="671" customWidth="1"/>
    <col min="5636" max="5636" width="15.42578125" style="671" bestFit="1" customWidth="1"/>
    <col min="5637" max="5659" width="17.7109375" style="671" bestFit="1" customWidth="1"/>
    <col min="5660" max="5660" width="17.7109375" style="671" customWidth="1"/>
    <col min="5661" max="5888" width="11.42578125" style="671"/>
    <col min="5889" max="5889" width="7.7109375" style="671" customWidth="1"/>
    <col min="5890" max="5890" width="54.7109375" style="671" customWidth="1"/>
    <col min="5891" max="5891" width="58.28515625" style="671" customWidth="1"/>
    <col min="5892" max="5892" width="15.42578125" style="671" bestFit="1" customWidth="1"/>
    <col min="5893" max="5915" width="17.7109375" style="671" bestFit="1" customWidth="1"/>
    <col min="5916" max="5916" width="17.7109375" style="671" customWidth="1"/>
    <col min="5917" max="6144" width="11.42578125" style="671"/>
    <col min="6145" max="6145" width="7.7109375" style="671" customWidth="1"/>
    <col min="6146" max="6146" width="54.7109375" style="671" customWidth="1"/>
    <col min="6147" max="6147" width="58.28515625" style="671" customWidth="1"/>
    <col min="6148" max="6148" width="15.42578125" style="671" bestFit="1" customWidth="1"/>
    <col min="6149" max="6171" width="17.7109375" style="671" bestFit="1" customWidth="1"/>
    <col min="6172" max="6172" width="17.7109375" style="671" customWidth="1"/>
    <col min="6173" max="6400" width="11.42578125" style="671"/>
    <col min="6401" max="6401" width="7.7109375" style="671" customWidth="1"/>
    <col min="6402" max="6402" width="54.7109375" style="671" customWidth="1"/>
    <col min="6403" max="6403" width="58.28515625" style="671" customWidth="1"/>
    <col min="6404" max="6404" width="15.42578125" style="671" bestFit="1" customWidth="1"/>
    <col min="6405" max="6427" width="17.7109375" style="671" bestFit="1" customWidth="1"/>
    <col min="6428" max="6428" width="17.7109375" style="671" customWidth="1"/>
    <col min="6429" max="6656" width="11.42578125" style="671"/>
    <col min="6657" max="6657" width="7.7109375" style="671" customWidth="1"/>
    <col min="6658" max="6658" width="54.7109375" style="671" customWidth="1"/>
    <col min="6659" max="6659" width="58.28515625" style="671" customWidth="1"/>
    <col min="6660" max="6660" width="15.42578125" style="671" bestFit="1" customWidth="1"/>
    <col min="6661" max="6683" width="17.7109375" style="671" bestFit="1" customWidth="1"/>
    <col min="6684" max="6684" width="17.7109375" style="671" customWidth="1"/>
    <col min="6685" max="6912" width="11.42578125" style="671"/>
    <col min="6913" max="6913" width="7.7109375" style="671" customWidth="1"/>
    <col min="6914" max="6914" width="54.7109375" style="671" customWidth="1"/>
    <col min="6915" max="6915" width="58.28515625" style="671" customWidth="1"/>
    <col min="6916" max="6916" width="15.42578125" style="671" bestFit="1" customWidth="1"/>
    <col min="6917" max="6939" width="17.7109375" style="671" bestFit="1" customWidth="1"/>
    <col min="6940" max="6940" width="17.7109375" style="671" customWidth="1"/>
    <col min="6941" max="7168" width="11.42578125" style="671"/>
    <col min="7169" max="7169" width="7.7109375" style="671" customWidth="1"/>
    <col min="7170" max="7170" width="54.7109375" style="671" customWidth="1"/>
    <col min="7171" max="7171" width="58.28515625" style="671" customWidth="1"/>
    <col min="7172" max="7172" width="15.42578125" style="671" bestFit="1" customWidth="1"/>
    <col min="7173" max="7195" width="17.7109375" style="671" bestFit="1" customWidth="1"/>
    <col min="7196" max="7196" width="17.7109375" style="671" customWidth="1"/>
    <col min="7197" max="7424" width="11.42578125" style="671"/>
    <col min="7425" max="7425" width="7.7109375" style="671" customWidth="1"/>
    <col min="7426" max="7426" width="54.7109375" style="671" customWidth="1"/>
    <col min="7427" max="7427" width="58.28515625" style="671" customWidth="1"/>
    <col min="7428" max="7428" width="15.42578125" style="671" bestFit="1" customWidth="1"/>
    <col min="7429" max="7451" width="17.7109375" style="671" bestFit="1" customWidth="1"/>
    <col min="7452" max="7452" width="17.7109375" style="671" customWidth="1"/>
    <col min="7453" max="7680" width="11.42578125" style="671"/>
    <col min="7681" max="7681" width="7.7109375" style="671" customWidth="1"/>
    <col min="7682" max="7682" width="54.7109375" style="671" customWidth="1"/>
    <col min="7683" max="7683" width="58.28515625" style="671" customWidth="1"/>
    <col min="7684" max="7684" width="15.42578125" style="671" bestFit="1" customWidth="1"/>
    <col min="7685" max="7707" width="17.7109375" style="671" bestFit="1" customWidth="1"/>
    <col min="7708" max="7708" width="17.7109375" style="671" customWidth="1"/>
    <col min="7709" max="7936" width="11.42578125" style="671"/>
    <col min="7937" max="7937" width="7.7109375" style="671" customWidth="1"/>
    <col min="7938" max="7938" width="54.7109375" style="671" customWidth="1"/>
    <col min="7939" max="7939" width="58.28515625" style="671" customWidth="1"/>
    <col min="7940" max="7940" width="15.42578125" style="671" bestFit="1" customWidth="1"/>
    <col min="7941" max="7963" width="17.7109375" style="671" bestFit="1" customWidth="1"/>
    <col min="7964" max="7964" width="17.7109375" style="671" customWidth="1"/>
    <col min="7965" max="8192" width="11.42578125" style="671"/>
    <col min="8193" max="8193" width="7.7109375" style="671" customWidth="1"/>
    <col min="8194" max="8194" width="54.7109375" style="671" customWidth="1"/>
    <col min="8195" max="8195" width="58.28515625" style="671" customWidth="1"/>
    <col min="8196" max="8196" width="15.42578125" style="671" bestFit="1" customWidth="1"/>
    <col min="8197" max="8219" width="17.7109375" style="671" bestFit="1" customWidth="1"/>
    <col min="8220" max="8220" width="17.7109375" style="671" customWidth="1"/>
    <col min="8221" max="8448" width="11.42578125" style="671"/>
    <col min="8449" max="8449" width="7.7109375" style="671" customWidth="1"/>
    <col min="8450" max="8450" width="54.7109375" style="671" customWidth="1"/>
    <col min="8451" max="8451" width="58.28515625" style="671" customWidth="1"/>
    <col min="8452" max="8452" width="15.42578125" style="671" bestFit="1" customWidth="1"/>
    <col min="8453" max="8475" width="17.7109375" style="671" bestFit="1" customWidth="1"/>
    <col min="8476" max="8476" width="17.7109375" style="671" customWidth="1"/>
    <col min="8477" max="8704" width="11.42578125" style="671"/>
    <col min="8705" max="8705" width="7.7109375" style="671" customWidth="1"/>
    <col min="8706" max="8706" width="54.7109375" style="671" customWidth="1"/>
    <col min="8707" max="8707" width="58.28515625" style="671" customWidth="1"/>
    <col min="8708" max="8708" width="15.42578125" style="671" bestFit="1" customWidth="1"/>
    <col min="8709" max="8731" width="17.7109375" style="671" bestFit="1" customWidth="1"/>
    <col min="8732" max="8732" width="17.7109375" style="671" customWidth="1"/>
    <col min="8733" max="8960" width="11.42578125" style="671"/>
    <col min="8961" max="8961" width="7.7109375" style="671" customWidth="1"/>
    <col min="8962" max="8962" width="54.7109375" style="671" customWidth="1"/>
    <col min="8963" max="8963" width="58.28515625" style="671" customWidth="1"/>
    <col min="8964" max="8964" width="15.42578125" style="671" bestFit="1" customWidth="1"/>
    <col min="8965" max="8987" width="17.7109375" style="671" bestFit="1" customWidth="1"/>
    <col min="8988" max="8988" width="17.7109375" style="671" customWidth="1"/>
    <col min="8989" max="9216" width="11.42578125" style="671"/>
    <col min="9217" max="9217" width="7.7109375" style="671" customWidth="1"/>
    <col min="9218" max="9218" width="54.7109375" style="671" customWidth="1"/>
    <col min="9219" max="9219" width="58.28515625" style="671" customWidth="1"/>
    <col min="9220" max="9220" width="15.42578125" style="671" bestFit="1" customWidth="1"/>
    <col min="9221" max="9243" width="17.7109375" style="671" bestFit="1" customWidth="1"/>
    <col min="9244" max="9244" width="17.7109375" style="671" customWidth="1"/>
    <col min="9245" max="9472" width="11.42578125" style="671"/>
    <col min="9473" max="9473" width="7.7109375" style="671" customWidth="1"/>
    <col min="9474" max="9474" width="54.7109375" style="671" customWidth="1"/>
    <col min="9475" max="9475" width="58.28515625" style="671" customWidth="1"/>
    <col min="9476" max="9476" width="15.42578125" style="671" bestFit="1" customWidth="1"/>
    <col min="9477" max="9499" width="17.7109375" style="671" bestFit="1" customWidth="1"/>
    <col min="9500" max="9500" width="17.7109375" style="671" customWidth="1"/>
    <col min="9501" max="9728" width="11.42578125" style="671"/>
    <col min="9729" max="9729" width="7.7109375" style="671" customWidth="1"/>
    <col min="9730" max="9730" width="54.7109375" style="671" customWidth="1"/>
    <col min="9731" max="9731" width="58.28515625" style="671" customWidth="1"/>
    <col min="9732" max="9732" width="15.42578125" style="671" bestFit="1" customWidth="1"/>
    <col min="9733" max="9755" width="17.7109375" style="671" bestFit="1" customWidth="1"/>
    <col min="9756" max="9756" width="17.7109375" style="671" customWidth="1"/>
    <col min="9757" max="9984" width="11.42578125" style="671"/>
    <col min="9985" max="9985" width="7.7109375" style="671" customWidth="1"/>
    <col min="9986" max="9986" width="54.7109375" style="671" customWidth="1"/>
    <col min="9987" max="9987" width="58.28515625" style="671" customWidth="1"/>
    <col min="9988" max="9988" width="15.42578125" style="671" bestFit="1" customWidth="1"/>
    <col min="9989" max="10011" width="17.7109375" style="671" bestFit="1" customWidth="1"/>
    <col min="10012" max="10012" width="17.7109375" style="671" customWidth="1"/>
    <col min="10013" max="10240" width="11.42578125" style="671"/>
    <col min="10241" max="10241" width="7.7109375" style="671" customWidth="1"/>
    <col min="10242" max="10242" width="54.7109375" style="671" customWidth="1"/>
    <col min="10243" max="10243" width="58.28515625" style="671" customWidth="1"/>
    <col min="10244" max="10244" width="15.42578125" style="671" bestFit="1" customWidth="1"/>
    <col min="10245" max="10267" width="17.7109375" style="671" bestFit="1" customWidth="1"/>
    <col min="10268" max="10268" width="17.7109375" style="671" customWidth="1"/>
    <col min="10269" max="10496" width="11.42578125" style="671"/>
    <col min="10497" max="10497" width="7.7109375" style="671" customWidth="1"/>
    <col min="10498" max="10498" width="54.7109375" style="671" customWidth="1"/>
    <col min="10499" max="10499" width="58.28515625" style="671" customWidth="1"/>
    <col min="10500" max="10500" width="15.42578125" style="671" bestFit="1" customWidth="1"/>
    <col min="10501" max="10523" width="17.7109375" style="671" bestFit="1" customWidth="1"/>
    <col min="10524" max="10524" width="17.7109375" style="671" customWidth="1"/>
    <col min="10525" max="10752" width="11.42578125" style="671"/>
    <col min="10753" max="10753" width="7.7109375" style="671" customWidth="1"/>
    <col min="10754" max="10754" width="54.7109375" style="671" customWidth="1"/>
    <col min="10755" max="10755" width="58.28515625" style="671" customWidth="1"/>
    <col min="10756" max="10756" width="15.42578125" style="671" bestFit="1" customWidth="1"/>
    <col min="10757" max="10779" width="17.7109375" style="671" bestFit="1" customWidth="1"/>
    <col min="10780" max="10780" width="17.7109375" style="671" customWidth="1"/>
    <col min="10781" max="11008" width="11.42578125" style="671"/>
    <col min="11009" max="11009" width="7.7109375" style="671" customWidth="1"/>
    <col min="11010" max="11010" width="54.7109375" style="671" customWidth="1"/>
    <col min="11011" max="11011" width="58.28515625" style="671" customWidth="1"/>
    <col min="11012" max="11012" width="15.42578125" style="671" bestFit="1" customWidth="1"/>
    <col min="11013" max="11035" width="17.7109375" style="671" bestFit="1" customWidth="1"/>
    <col min="11036" max="11036" width="17.7109375" style="671" customWidth="1"/>
    <col min="11037" max="11264" width="11.42578125" style="671"/>
    <col min="11265" max="11265" width="7.7109375" style="671" customWidth="1"/>
    <col min="11266" max="11266" width="54.7109375" style="671" customWidth="1"/>
    <col min="11267" max="11267" width="58.28515625" style="671" customWidth="1"/>
    <col min="11268" max="11268" width="15.42578125" style="671" bestFit="1" customWidth="1"/>
    <col min="11269" max="11291" width="17.7109375" style="671" bestFit="1" customWidth="1"/>
    <col min="11292" max="11292" width="17.7109375" style="671" customWidth="1"/>
    <col min="11293" max="11520" width="11.42578125" style="671"/>
    <col min="11521" max="11521" width="7.7109375" style="671" customWidth="1"/>
    <col min="11522" max="11522" width="54.7109375" style="671" customWidth="1"/>
    <col min="11523" max="11523" width="58.28515625" style="671" customWidth="1"/>
    <col min="11524" max="11524" width="15.42578125" style="671" bestFit="1" customWidth="1"/>
    <col min="11525" max="11547" width="17.7109375" style="671" bestFit="1" customWidth="1"/>
    <col min="11548" max="11548" width="17.7109375" style="671" customWidth="1"/>
    <col min="11549" max="11776" width="11.42578125" style="671"/>
    <col min="11777" max="11777" width="7.7109375" style="671" customWidth="1"/>
    <col min="11778" max="11778" width="54.7109375" style="671" customWidth="1"/>
    <col min="11779" max="11779" width="58.28515625" style="671" customWidth="1"/>
    <col min="11780" max="11780" width="15.42578125" style="671" bestFit="1" customWidth="1"/>
    <col min="11781" max="11803" width="17.7109375" style="671" bestFit="1" customWidth="1"/>
    <col min="11804" max="11804" width="17.7109375" style="671" customWidth="1"/>
    <col min="11805" max="12032" width="11.42578125" style="671"/>
    <col min="12033" max="12033" width="7.7109375" style="671" customWidth="1"/>
    <col min="12034" max="12034" width="54.7109375" style="671" customWidth="1"/>
    <col min="12035" max="12035" width="58.28515625" style="671" customWidth="1"/>
    <col min="12036" max="12036" width="15.42578125" style="671" bestFit="1" customWidth="1"/>
    <col min="12037" max="12059" width="17.7109375" style="671" bestFit="1" customWidth="1"/>
    <col min="12060" max="12060" width="17.7109375" style="671" customWidth="1"/>
    <col min="12061" max="12288" width="11.42578125" style="671"/>
    <col min="12289" max="12289" width="7.7109375" style="671" customWidth="1"/>
    <col min="12290" max="12290" width="54.7109375" style="671" customWidth="1"/>
    <col min="12291" max="12291" width="58.28515625" style="671" customWidth="1"/>
    <col min="12292" max="12292" width="15.42578125" style="671" bestFit="1" customWidth="1"/>
    <col min="12293" max="12315" width="17.7109375" style="671" bestFit="1" customWidth="1"/>
    <col min="12316" max="12316" width="17.7109375" style="671" customWidth="1"/>
    <col min="12317" max="12544" width="11.42578125" style="671"/>
    <col min="12545" max="12545" width="7.7109375" style="671" customWidth="1"/>
    <col min="12546" max="12546" width="54.7109375" style="671" customWidth="1"/>
    <col min="12547" max="12547" width="58.28515625" style="671" customWidth="1"/>
    <col min="12548" max="12548" width="15.42578125" style="671" bestFit="1" customWidth="1"/>
    <col min="12549" max="12571" width="17.7109375" style="671" bestFit="1" customWidth="1"/>
    <col min="12572" max="12572" width="17.7109375" style="671" customWidth="1"/>
    <col min="12573" max="12800" width="11.42578125" style="671"/>
    <col min="12801" max="12801" width="7.7109375" style="671" customWidth="1"/>
    <col min="12802" max="12802" width="54.7109375" style="671" customWidth="1"/>
    <col min="12803" max="12803" width="58.28515625" style="671" customWidth="1"/>
    <col min="12804" max="12804" width="15.42578125" style="671" bestFit="1" customWidth="1"/>
    <col min="12805" max="12827" width="17.7109375" style="671" bestFit="1" customWidth="1"/>
    <col min="12828" max="12828" width="17.7109375" style="671" customWidth="1"/>
    <col min="12829" max="13056" width="11.42578125" style="671"/>
    <col min="13057" max="13057" width="7.7109375" style="671" customWidth="1"/>
    <col min="13058" max="13058" width="54.7109375" style="671" customWidth="1"/>
    <col min="13059" max="13059" width="58.28515625" style="671" customWidth="1"/>
    <col min="13060" max="13060" width="15.42578125" style="671" bestFit="1" customWidth="1"/>
    <col min="13061" max="13083" width="17.7109375" style="671" bestFit="1" customWidth="1"/>
    <col min="13084" max="13084" width="17.7109375" style="671" customWidth="1"/>
    <col min="13085" max="13312" width="11.42578125" style="671"/>
    <col min="13313" max="13313" width="7.7109375" style="671" customWidth="1"/>
    <col min="13314" max="13314" width="54.7109375" style="671" customWidth="1"/>
    <col min="13315" max="13315" width="58.28515625" style="671" customWidth="1"/>
    <col min="13316" max="13316" width="15.42578125" style="671" bestFit="1" customWidth="1"/>
    <col min="13317" max="13339" width="17.7109375" style="671" bestFit="1" customWidth="1"/>
    <col min="13340" max="13340" width="17.7109375" style="671" customWidth="1"/>
    <col min="13341" max="13568" width="11.42578125" style="671"/>
    <col min="13569" max="13569" width="7.7109375" style="671" customWidth="1"/>
    <col min="13570" max="13570" width="54.7109375" style="671" customWidth="1"/>
    <col min="13571" max="13571" width="58.28515625" style="671" customWidth="1"/>
    <col min="13572" max="13572" width="15.42578125" style="671" bestFit="1" customWidth="1"/>
    <col min="13573" max="13595" width="17.7109375" style="671" bestFit="1" customWidth="1"/>
    <col min="13596" max="13596" width="17.7109375" style="671" customWidth="1"/>
    <col min="13597" max="13824" width="11.42578125" style="671"/>
    <col min="13825" max="13825" width="7.7109375" style="671" customWidth="1"/>
    <col min="13826" max="13826" width="54.7109375" style="671" customWidth="1"/>
    <col min="13827" max="13827" width="58.28515625" style="671" customWidth="1"/>
    <col min="13828" max="13828" width="15.42578125" style="671" bestFit="1" customWidth="1"/>
    <col min="13829" max="13851" width="17.7109375" style="671" bestFit="1" customWidth="1"/>
    <col min="13852" max="13852" width="17.7109375" style="671" customWidth="1"/>
    <col min="13853" max="14080" width="11.42578125" style="671"/>
    <col min="14081" max="14081" width="7.7109375" style="671" customWidth="1"/>
    <col min="14082" max="14082" width="54.7109375" style="671" customWidth="1"/>
    <col min="14083" max="14083" width="58.28515625" style="671" customWidth="1"/>
    <col min="14084" max="14084" width="15.42578125" style="671" bestFit="1" customWidth="1"/>
    <col min="14085" max="14107" width="17.7109375" style="671" bestFit="1" customWidth="1"/>
    <col min="14108" max="14108" width="17.7109375" style="671" customWidth="1"/>
    <col min="14109" max="14336" width="11.42578125" style="671"/>
    <col min="14337" max="14337" width="7.7109375" style="671" customWidth="1"/>
    <col min="14338" max="14338" width="54.7109375" style="671" customWidth="1"/>
    <col min="14339" max="14339" width="58.28515625" style="671" customWidth="1"/>
    <col min="14340" max="14340" width="15.42578125" style="671" bestFit="1" customWidth="1"/>
    <col min="14341" max="14363" width="17.7109375" style="671" bestFit="1" customWidth="1"/>
    <col min="14364" max="14364" width="17.7109375" style="671" customWidth="1"/>
    <col min="14365" max="14592" width="11.42578125" style="671"/>
    <col min="14593" max="14593" width="7.7109375" style="671" customWidth="1"/>
    <col min="14594" max="14594" width="54.7109375" style="671" customWidth="1"/>
    <col min="14595" max="14595" width="58.28515625" style="671" customWidth="1"/>
    <col min="14596" max="14596" width="15.42578125" style="671" bestFit="1" customWidth="1"/>
    <col min="14597" max="14619" width="17.7109375" style="671" bestFit="1" customWidth="1"/>
    <col min="14620" max="14620" width="17.7109375" style="671" customWidth="1"/>
    <col min="14621" max="14848" width="11.42578125" style="671"/>
    <col min="14849" max="14849" width="7.7109375" style="671" customWidth="1"/>
    <col min="14850" max="14850" width="54.7109375" style="671" customWidth="1"/>
    <col min="14851" max="14851" width="58.28515625" style="671" customWidth="1"/>
    <col min="14852" max="14852" width="15.42578125" style="671" bestFit="1" customWidth="1"/>
    <col min="14853" max="14875" width="17.7109375" style="671" bestFit="1" customWidth="1"/>
    <col min="14876" max="14876" width="17.7109375" style="671" customWidth="1"/>
    <col min="14877" max="15104" width="11.42578125" style="671"/>
    <col min="15105" max="15105" width="7.7109375" style="671" customWidth="1"/>
    <col min="15106" max="15106" width="54.7109375" style="671" customWidth="1"/>
    <col min="15107" max="15107" width="58.28515625" style="671" customWidth="1"/>
    <col min="15108" max="15108" width="15.42578125" style="671" bestFit="1" customWidth="1"/>
    <col min="15109" max="15131" width="17.7109375" style="671" bestFit="1" customWidth="1"/>
    <col min="15132" max="15132" width="17.7109375" style="671" customWidth="1"/>
    <col min="15133" max="15360" width="11.42578125" style="671"/>
    <col min="15361" max="15361" width="7.7109375" style="671" customWidth="1"/>
    <col min="15362" max="15362" width="54.7109375" style="671" customWidth="1"/>
    <col min="15363" max="15363" width="58.28515625" style="671" customWidth="1"/>
    <col min="15364" max="15364" width="15.42578125" style="671" bestFit="1" customWidth="1"/>
    <col min="15365" max="15387" width="17.7109375" style="671" bestFit="1" customWidth="1"/>
    <col min="15388" max="15388" width="17.7109375" style="671" customWidth="1"/>
    <col min="15389" max="15616" width="11.42578125" style="671"/>
    <col min="15617" max="15617" width="7.7109375" style="671" customWidth="1"/>
    <col min="15618" max="15618" width="54.7109375" style="671" customWidth="1"/>
    <col min="15619" max="15619" width="58.28515625" style="671" customWidth="1"/>
    <col min="15620" max="15620" width="15.42578125" style="671" bestFit="1" customWidth="1"/>
    <col min="15621" max="15643" width="17.7109375" style="671" bestFit="1" customWidth="1"/>
    <col min="15644" max="15644" width="17.7109375" style="671" customWidth="1"/>
    <col min="15645" max="15872" width="11.42578125" style="671"/>
    <col min="15873" max="15873" width="7.7109375" style="671" customWidth="1"/>
    <col min="15874" max="15874" width="54.7109375" style="671" customWidth="1"/>
    <col min="15875" max="15875" width="58.28515625" style="671" customWidth="1"/>
    <col min="15876" max="15876" width="15.42578125" style="671" bestFit="1" customWidth="1"/>
    <col min="15877" max="15899" width="17.7109375" style="671" bestFit="1" customWidth="1"/>
    <col min="15900" max="15900" width="17.7109375" style="671" customWidth="1"/>
    <col min="15901" max="16128" width="11.42578125" style="671"/>
    <col min="16129" max="16129" width="7.7109375" style="671" customWidth="1"/>
    <col min="16130" max="16130" width="54.7109375" style="671" customWidth="1"/>
    <col min="16131" max="16131" width="58.28515625" style="671" customWidth="1"/>
    <col min="16132" max="16132" width="15.42578125" style="671" bestFit="1" customWidth="1"/>
    <col min="16133" max="16155" width="17.7109375" style="671" bestFit="1" customWidth="1"/>
    <col min="16156" max="16156" width="17.7109375" style="671" customWidth="1"/>
    <col min="16157" max="16384" width="11.42578125" style="671"/>
  </cols>
  <sheetData>
    <row r="1" spans="1:28" ht="21" x14ac:dyDescent="0.35">
      <c r="A1" s="1037" t="s">
        <v>323</v>
      </c>
    </row>
    <row r="2" spans="1:28" ht="21" x14ac:dyDescent="0.35">
      <c r="A2" s="1037"/>
      <c r="B2" s="1037" t="s">
        <v>1266</v>
      </c>
    </row>
    <row r="3" spans="1:28" ht="16.5" thickBot="1" x14ac:dyDescent="0.3">
      <c r="A3" s="1038" t="s">
        <v>238</v>
      </c>
      <c r="B3" s="1038"/>
      <c r="C3" s="1038"/>
      <c r="D3" s="1038"/>
      <c r="E3" s="289"/>
      <c r="F3" s="1039"/>
      <c r="G3" s="1040"/>
      <c r="H3" s="1041"/>
      <c r="I3" s="671"/>
      <c r="J3" s="671"/>
      <c r="K3" s="671"/>
      <c r="L3" s="671"/>
      <c r="M3" s="671"/>
      <c r="N3" s="671"/>
      <c r="O3" s="671"/>
    </row>
    <row r="4" spans="1:28" x14ac:dyDescent="0.25">
      <c r="A4" s="1042"/>
      <c r="B4" s="1043"/>
      <c r="C4" s="1043"/>
      <c r="D4" s="1088">
        <v>0</v>
      </c>
      <c r="E4" s="1088">
        <v>1</v>
      </c>
      <c r="F4" s="1088">
        <v>2</v>
      </c>
      <c r="G4" s="1088">
        <v>3</v>
      </c>
      <c r="H4" s="1088">
        <v>4</v>
      </c>
      <c r="I4" s="1088">
        <v>5</v>
      </c>
      <c r="J4" s="1088">
        <v>6</v>
      </c>
      <c r="K4" s="1088">
        <v>7</v>
      </c>
      <c r="L4" s="1088">
        <v>8</v>
      </c>
      <c r="M4" s="1088">
        <v>9</v>
      </c>
      <c r="N4" s="1088">
        <v>10</v>
      </c>
      <c r="O4" s="1088">
        <v>11</v>
      </c>
      <c r="P4" s="1088">
        <v>12</v>
      </c>
      <c r="Q4" s="1088">
        <v>13</v>
      </c>
      <c r="R4" s="1088">
        <v>14</v>
      </c>
      <c r="S4" s="1088">
        <v>15</v>
      </c>
      <c r="T4" s="1088">
        <v>16</v>
      </c>
      <c r="U4" s="1088">
        <v>17</v>
      </c>
      <c r="V4" s="1088">
        <v>18</v>
      </c>
      <c r="W4" s="1088">
        <v>19</v>
      </c>
      <c r="X4" s="1088">
        <v>20</v>
      </c>
      <c r="Y4" s="1088">
        <v>21</v>
      </c>
      <c r="Z4" s="1088">
        <v>22</v>
      </c>
      <c r="AA4" s="1088">
        <v>23</v>
      </c>
      <c r="AB4" s="1088">
        <v>24</v>
      </c>
    </row>
    <row r="5" spans="1:28" x14ac:dyDescent="0.25">
      <c r="A5" s="1384"/>
      <c r="B5" s="1385"/>
      <c r="C5" s="1385"/>
      <c r="D5" s="1386"/>
      <c r="E5" s="1386"/>
      <c r="F5" s="1386"/>
      <c r="G5" s="1386"/>
      <c r="H5" s="1386"/>
      <c r="I5" s="1386"/>
      <c r="J5" s="1386"/>
      <c r="K5" s="1386"/>
      <c r="L5" s="1386"/>
      <c r="M5" s="1386"/>
      <c r="N5" s="1386"/>
      <c r="O5" s="1386"/>
      <c r="P5" s="1386"/>
      <c r="Q5" s="1386"/>
      <c r="R5" s="1386"/>
      <c r="S5" s="1386"/>
      <c r="T5" s="1386"/>
      <c r="U5" s="1386"/>
      <c r="V5" s="1386"/>
      <c r="W5" s="1386"/>
      <c r="X5" s="1386"/>
      <c r="Y5" s="1386"/>
      <c r="Z5" s="1386"/>
      <c r="AA5" s="1386"/>
      <c r="AB5" s="1386"/>
    </row>
    <row r="6" spans="1:28" x14ac:dyDescent="0.25">
      <c r="A6" s="1387" t="s">
        <v>239</v>
      </c>
      <c r="B6" s="1388"/>
      <c r="C6" s="1388"/>
      <c r="D6" s="1389">
        <v>0</v>
      </c>
      <c r="E6" s="1390">
        <f>+D6</f>
        <v>0</v>
      </c>
      <c r="F6" s="1390">
        <f t="shared" ref="F6:AB6" si="0">+E6</f>
        <v>0</v>
      </c>
      <c r="G6" s="1390">
        <f t="shared" si="0"/>
        <v>0</v>
      </c>
      <c r="H6" s="1390">
        <f t="shared" si="0"/>
        <v>0</v>
      </c>
      <c r="I6" s="1390">
        <f t="shared" si="0"/>
        <v>0</v>
      </c>
      <c r="J6" s="1390">
        <f t="shared" si="0"/>
        <v>0</v>
      </c>
      <c r="K6" s="1390">
        <f t="shared" si="0"/>
        <v>0</v>
      </c>
      <c r="L6" s="1390">
        <f t="shared" si="0"/>
        <v>0</v>
      </c>
      <c r="M6" s="1390">
        <f t="shared" si="0"/>
        <v>0</v>
      </c>
      <c r="N6" s="1390">
        <f t="shared" si="0"/>
        <v>0</v>
      </c>
      <c r="O6" s="1390">
        <f t="shared" si="0"/>
        <v>0</v>
      </c>
      <c r="P6" s="1390">
        <f t="shared" si="0"/>
        <v>0</v>
      </c>
      <c r="Q6" s="1390">
        <f t="shared" si="0"/>
        <v>0</v>
      </c>
      <c r="R6" s="1390">
        <f t="shared" si="0"/>
        <v>0</v>
      </c>
      <c r="S6" s="1390">
        <f t="shared" si="0"/>
        <v>0</v>
      </c>
      <c r="T6" s="1390">
        <f t="shared" si="0"/>
        <v>0</v>
      </c>
      <c r="U6" s="1390">
        <f t="shared" si="0"/>
        <v>0</v>
      </c>
      <c r="V6" s="1390">
        <f t="shared" si="0"/>
        <v>0</v>
      </c>
      <c r="W6" s="1390">
        <f t="shared" si="0"/>
        <v>0</v>
      </c>
      <c r="X6" s="1390">
        <f t="shared" si="0"/>
        <v>0</v>
      </c>
      <c r="Y6" s="1390">
        <f t="shared" si="0"/>
        <v>0</v>
      </c>
      <c r="Z6" s="1390">
        <f t="shared" si="0"/>
        <v>0</v>
      </c>
      <c r="AA6" s="1390">
        <f t="shared" si="0"/>
        <v>0</v>
      </c>
      <c r="AB6" s="1390">
        <f t="shared" si="0"/>
        <v>0</v>
      </c>
    </row>
    <row r="7" spans="1:28" x14ac:dyDescent="0.25">
      <c r="A7" s="1047" t="s">
        <v>240</v>
      </c>
      <c r="B7" s="1048"/>
      <c r="C7" s="1048"/>
      <c r="D7" s="1049">
        <f>+' A16 S. NORTE '!J27</f>
        <v>15319.84175</v>
      </c>
      <c r="E7" s="1049">
        <f>+D7+' A16 S. NORTE '!G80</f>
        <v>15491.6721875</v>
      </c>
      <c r="F7" s="1049">
        <f>+E7+'[2]ANEXOS '!$G$50</f>
        <v>15663.502625000001</v>
      </c>
      <c r="G7" s="1049">
        <f>+F7+'[2]ANEXOS '!$G$50</f>
        <v>15835.333062500002</v>
      </c>
      <c r="H7" s="1049">
        <f>+G7+'[2]ANEXOS '!$G$50</f>
        <v>16007.163500000002</v>
      </c>
      <c r="I7" s="1049">
        <f>+H7+'[2]ANEXOS '!$G$50</f>
        <v>16178.993937500003</v>
      </c>
      <c r="J7" s="1049">
        <f>+I7+'[2]ANEXOS '!$G$50</f>
        <v>16350.824375000004</v>
      </c>
      <c r="K7" s="1049">
        <f>+J7+'[2]ANEXOS '!$G$50</f>
        <v>16522.654812500004</v>
      </c>
      <c r="L7" s="1049">
        <f>+K7+'[2]ANEXOS '!$G$50</f>
        <v>16694.485250000005</v>
      </c>
      <c r="M7" s="1049">
        <f>+L7+'[2]ANEXOS '!$G$50</f>
        <v>16866.315687500006</v>
      </c>
      <c r="N7" s="1049">
        <f>+M7+'[2]ANEXOS '!$G$50</f>
        <v>17038.146125000007</v>
      </c>
      <c r="O7" s="1049">
        <f>+N7+'[2]ANEXOS '!$G$50</f>
        <v>17209.976562500007</v>
      </c>
      <c r="P7" s="1049">
        <f>+O7+'[2]ANEXOS '!$G$50</f>
        <v>17381.807000000008</v>
      </c>
      <c r="Q7" s="1049">
        <f>+P7+'[2]ANEXOS '!$G$50</f>
        <v>17553.637437500009</v>
      </c>
      <c r="R7" s="1049">
        <f>+Q7+'[2]ANEXOS '!$G$50</f>
        <v>17725.467875000009</v>
      </c>
      <c r="S7" s="1049">
        <f>+R7+'[2]ANEXOS '!$G$50</f>
        <v>17897.29831250001</v>
      </c>
      <c r="T7" s="1049">
        <f>+S7+'[2]ANEXOS '!$G$50</f>
        <v>18069.128750000011</v>
      </c>
      <c r="U7" s="1049">
        <f>+T7+'[2]ANEXOS '!$G$50</f>
        <v>18240.959187500011</v>
      </c>
      <c r="V7" s="1049">
        <f>+U7+'[2]ANEXOS '!$G$50</f>
        <v>18412.789625000012</v>
      </c>
      <c r="W7" s="1049">
        <f>+V7+'[2]ANEXOS '!$G$50</f>
        <v>18584.620062500013</v>
      </c>
      <c r="X7" s="1049">
        <f>+W7+'[2]ANEXOS '!$G$50</f>
        <v>18756.450500000014</v>
      </c>
      <c r="Y7" s="1049">
        <f>+X7+'[2]ANEXOS '!$G$50</f>
        <v>18928.280937500014</v>
      </c>
      <c r="Z7" s="1049">
        <f>+Y7+'[2]ANEXOS '!$G$50</f>
        <v>19100.111375000015</v>
      </c>
      <c r="AA7" s="1049">
        <f>+Z7+'[2]ANEXOS '!$G$50</f>
        <v>19271.941812500016</v>
      </c>
      <c r="AB7" s="1049">
        <f>+AA7+'[2]ANEXOS '!$G$50</f>
        <v>19443.772250000016</v>
      </c>
    </row>
    <row r="8" spans="1:28" x14ac:dyDescent="0.25">
      <c r="A8" s="1051" t="s">
        <v>241</v>
      </c>
      <c r="B8" s="1052"/>
      <c r="C8" s="1052"/>
      <c r="D8" s="1053">
        <f>+' A16 S. NORTE '!K27</f>
        <v>8263.14</v>
      </c>
      <c r="E8" s="1053">
        <f>+D8+' A16 S. NORTE '!G79</f>
        <v>9355.9474999999984</v>
      </c>
      <c r="F8" s="1053">
        <f>+E8+'[2]ANEXOS '!$G$49</f>
        <v>10448.754999999997</v>
      </c>
      <c r="G8" s="1053">
        <f>+F8+'[2]ANEXOS '!$G$49</f>
        <v>11541.562499999996</v>
      </c>
      <c r="H8" s="1053">
        <f>+G8+'[2]ANEXOS '!$G$49</f>
        <v>12634.369999999995</v>
      </c>
      <c r="I8" s="1053">
        <f>+H8+'[2]ANEXOS '!$G$49</f>
        <v>13727.177499999994</v>
      </c>
      <c r="J8" s="1053">
        <f>+I8+'[2]ANEXOS '!$G$49</f>
        <v>14819.984999999993</v>
      </c>
      <c r="K8" s="1053">
        <f>+J8+'[2]ANEXOS '!$G$49</f>
        <v>15912.792499999992</v>
      </c>
      <c r="L8" s="1053">
        <f>+K8+'[2]ANEXOS '!$G$49</f>
        <v>17005.599999999991</v>
      </c>
      <c r="M8" s="1053">
        <f>+L8+'[2]ANEXOS '!$G$49</f>
        <v>18098.40749999999</v>
      </c>
      <c r="N8" s="1053">
        <f>+M8+'[2]ANEXOS '!$G$49</f>
        <v>19191.214999999989</v>
      </c>
      <c r="O8" s="1053">
        <f>+N8+'[2]ANEXOS '!$G$49</f>
        <v>20284.022499999988</v>
      </c>
      <c r="P8" s="1053">
        <f>+O8+'[2]ANEXOS '!$G$49</f>
        <v>21376.829999999987</v>
      </c>
      <c r="Q8" s="1053">
        <f>+P8+'[2]ANEXOS '!$G$49</f>
        <v>22469.637499999986</v>
      </c>
      <c r="R8" s="1053">
        <f>+Q8+'[2]ANEXOS '!$G$49</f>
        <v>23562.444999999985</v>
      </c>
      <c r="S8" s="1053">
        <f>+R8+'[2]ANEXOS '!$G$49</f>
        <v>24655.252499999984</v>
      </c>
      <c r="T8" s="1053">
        <f>+S8+'[2]ANEXOS '!$G$49</f>
        <v>25748.059999999983</v>
      </c>
      <c r="U8" s="1053">
        <f>+T8+'[2]ANEXOS '!$G$49</f>
        <v>26840.867499999982</v>
      </c>
      <c r="V8" s="1053">
        <f>+U8+'[2]ANEXOS '!$G$49</f>
        <v>27933.674999999981</v>
      </c>
      <c r="W8" s="1053">
        <f>+V8+'[2]ANEXOS '!$G$49</f>
        <v>29026.48249999998</v>
      </c>
      <c r="X8" s="1053">
        <f>+W8+'[2]ANEXOS '!$G$49</f>
        <v>30119.289999999979</v>
      </c>
      <c r="Y8" s="1053">
        <f>+X8+'[2]ANEXOS '!$G$49</f>
        <v>31212.097499999978</v>
      </c>
      <c r="Z8" s="1053">
        <f>+Y8+'[2]ANEXOS '!$G$49</f>
        <v>32304.904999999977</v>
      </c>
      <c r="AA8" s="1053">
        <f>+Z8+'[2]ANEXOS '!$G$49</f>
        <v>33397.71249999998</v>
      </c>
      <c r="AB8" s="1053">
        <f>+AA8+'[2]ANEXOS '!$G$49</f>
        <v>34490.519999999982</v>
      </c>
    </row>
    <row r="9" spans="1:28" x14ac:dyDescent="0.25">
      <c r="A9" s="1055" t="s">
        <v>242</v>
      </c>
      <c r="B9" s="1056"/>
      <c r="C9" s="1056"/>
      <c r="D9" s="1057">
        <v>0</v>
      </c>
      <c r="E9" s="1057">
        <f t="shared" ref="E9:AB9" si="1">-E21+D9</f>
        <v>-654.91632499999992</v>
      </c>
      <c r="F9" s="1057">
        <f t="shared" si="1"/>
        <v>-1309.8326499999998</v>
      </c>
      <c r="G9" s="1057">
        <f t="shared" si="1"/>
        <v>-1964.7489749999997</v>
      </c>
      <c r="H9" s="1057">
        <f t="shared" si="1"/>
        <v>-2619.6652999999997</v>
      </c>
      <c r="I9" s="1057">
        <f t="shared" si="1"/>
        <v>-3274.5816249999998</v>
      </c>
      <c r="J9" s="1057">
        <f t="shared" si="1"/>
        <v>-3929.4979499999999</v>
      </c>
      <c r="K9" s="1057">
        <f t="shared" si="1"/>
        <v>-4584.4142750000001</v>
      </c>
      <c r="L9" s="1057">
        <f t="shared" si="1"/>
        <v>-5239.3306000000002</v>
      </c>
      <c r="M9" s="1057">
        <f t="shared" si="1"/>
        <v>-5894.2469250000004</v>
      </c>
      <c r="N9" s="1057">
        <f t="shared" si="1"/>
        <v>-6549.1632500000005</v>
      </c>
      <c r="O9" s="1057">
        <f t="shared" si="1"/>
        <v>-7204.0795750000007</v>
      </c>
      <c r="P9" s="1057">
        <f t="shared" si="1"/>
        <v>-7858.9959000000008</v>
      </c>
      <c r="Q9" s="1057">
        <f t="shared" si="1"/>
        <v>-8513.912225</v>
      </c>
      <c r="R9" s="1057">
        <f t="shared" si="1"/>
        <v>-9168.8285500000002</v>
      </c>
      <c r="S9" s="1057">
        <f t="shared" si="1"/>
        <v>-9823.7448750000003</v>
      </c>
      <c r="T9" s="1057">
        <f t="shared" si="1"/>
        <v>-10478.6612</v>
      </c>
      <c r="U9" s="1057">
        <f t="shared" si="1"/>
        <v>-11133.577525000001</v>
      </c>
      <c r="V9" s="1057">
        <f t="shared" si="1"/>
        <v>-11788.493850000001</v>
      </c>
      <c r="W9" s="1057">
        <f t="shared" si="1"/>
        <v>-12443.410175000001</v>
      </c>
      <c r="X9" s="1057">
        <f t="shared" si="1"/>
        <v>-13098.326500000001</v>
      </c>
      <c r="Y9" s="1057">
        <f t="shared" si="1"/>
        <v>-13753.242825000001</v>
      </c>
      <c r="Z9" s="1057">
        <f t="shared" si="1"/>
        <v>-14408.159150000001</v>
      </c>
      <c r="AA9" s="1057">
        <f t="shared" si="1"/>
        <v>-15063.075475000001</v>
      </c>
      <c r="AB9" s="1057">
        <f t="shared" si="1"/>
        <v>-15717.991800000002</v>
      </c>
    </row>
    <row r="10" spans="1:28" x14ac:dyDescent="0.25">
      <c r="A10" s="1058" t="s">
        <v>243</v>
      </c>
      <c r="B10" s="1059"/>
      <c r="C10" s="1059"/>
      <c r="D10" s="1060">
        <f t="shared" ref="D10:X10" si="2">D8+D9</f>
        <v>8263.14</v>
      </c>
      <c r="E10" s="1060">
        <f t="shared" si="2"/>
        <v>8701.0311749999983</v>
      </c>
      <c r="F10" s="1060">
        <f t="shared" si="2"/>
        <v>9138.9223499999971</v>
      </c>
      <c r="G10" s="1060">
        <f t="shared" si="2"/>
        <v>9576.8135249999959</v>
      </c>
      <c r="H10" s="1060">
        <f t="shared" si="2"/>
        <v>10014.704699999995</v>
      </c>
      <c r="I10" s="1060">
        <f t="shared" si="2"/>
        <v>10452.595874999995</v>
      </c>
      <c r="J10" s="1060">
        <f t="shared" si="2"/>
        <v>10890.487049999992</v>
      </c>
      <c r="K10" s="1060">
        <f t="shared" si="2"/>
        <v>11328.378224999993</v>
      </c>
      <c r="L10" s="1060">
        <f t="shared" si="2"/>
        <v>11766.26939999999</v>
      </c>
      <c r="M10" s="1060">
        <f t="shared" si="2"/>
        <v>12204.160574999991</v>
      </c>
      <c r="N10" s="1060">
        <f t="shared" si="2"/>
        <v>12642.051749999988</v>
      </c>
      <c r="O10" s="1060">
        <f t="shared" si="2"/>
        <v>13079.942924999988</v>
      </c>
      <c r="P10" s="1060">
        <f t="shared" si="2"/>
        <v>13517.834099999985</v>
      </c>
      <c r="Q10" s="1060">
        <f t="shared" si="2"/>
        <v>13955.725274999986</v>
      </c>
      <c r="R10" s="1060">
        <f t="shared" si="2"/>
        <v>14393.616449999985</v>
      </c>
      <c r="S10" s="1060">
        <f t="shared" si="2"/>
        <v>14831.507624999984</v>
      </c>
      <c r="T10" s="1060">
        <f t="shared" si="2"/>
        <v>15269.398799999983</v>
      </c>
      <c r="U10" s="1060">
        <f t="shared" si="2"/>
        <v>15707.289974999981</v>
      </c>
      <c r="V10" s="1060">
        <f t="shared" si="2"/>
        <v>16145.18114999998</v>
      </c>
      <c r="W10" s="1060">
        <f t="shared" si="2"/>
        <v>16583.072324999979</v>
      </c>
      <c r="X10" s="1060">
        <f t="shared" si="2"/>
        <v>17020.963499999976</v>
      </c>
      <c r="Y10" s="1060">
        <f>Y8+Y9</f>
        <v>17458.854674999977</v>
      </c>
      <c r="Z10" s="1060">
        <f>Z8+Z9</f>
        <v>17896.745849999978</v>
      </c>
      <c r="AA10" s="1060">
        <f>AA8+AA9</f>
        <v>18334.637024999978</v>
      </c>
      <c r="AB10" s="1060">
        <f>AB8+AB9</f>
        <v>18772.528199999979</v>
      </c>
    </row>
    <row r="11" spans="1:28" x14ac:dyDescent="0.25">
      <c r="A11" s="1062" t="s">
        <v>244</v>
      </c>
      <c r="B11" s="1063"/>
      <c r="C11" s="1063"/>
      <c r="D11" s="1064">
        <f>+D7+D10+D6</f>
        <v>23582.981749999999</v>
      </c>
      <c r="E11" s="1064">
        <f t="shared" ref="E11:AB11" si="3">+E7+E10+E6</f>
        <v>24192.703362499997</v>
      </c>
      <c r="F11" s="1064">
        <f t="shared" si="3"/>
        <v>24802.424974999998</v>
      </c>
      <c r="G11" s="1064">
        <f t="shared" si="3"/>
        <v>25412.146587499999</v>
      </c>
      <c r="H11" s="1064">
        <f t="shared" si="3"/>
        <v>26021.868199999997</v>
      </c>
      <c r="I11" s="1064">
        <f t="shared" si="3"/>
        <v>26631.589812499999</v>
      </c>
      <c r="J11" s="1064">
        <f t="shared" si="3"/>
        <v>27241.311424999996</v>
      </c>
      <c r="K11" s="1064">
        <f t="shared" si="3"/>
        <v>27851.033037499998</v>
      </c>
      <c r="L11" s="1064">
        <f t="shared" si="3"/>
        <v>28460.754649999995</v>
      </c>
      <c r="M11" s="1064">
        <f t="shared" si="3"/>
        <v>29070.476262499997</v>
      </c>
      <c r="N11" s="1064">
        <f t="shared" si="3"/>
        <v>29680.197874999994</v>
      </c>
      <c r="O11" s="1064">
        <f t="shared" si="3"/>
        <v>30289.919487499996</v>
      </c>
      <c r="P11" s="1064">
        <f t="shared" si="3"/>
        <v>30899.641099999993</v>
      </c>
      <c r="Q11" s="1064">
        <f t="shared" si="3"/>
        <v>31509.362712499995</v>
      </c>
      <c r="R11" s="1064">
        <f t="shared" si="3"/>
        <v>32119.084324999996</v>
      </c>
      <c r="S11" s="1064">
        <f t="shared" si="3"/>
        <v>32728.805937499994</v>
      </c>
      <c r="T11" s="1064">
        <f t="shared" si="3"/>
        <v>33338.527549999992</v>
      </c>
      <c r="U11" s="1064">
        <f t="shared" si="3"/>
        <v>33948.249162499997</v>
      </c>
      <c r="V11" s="1064">
        <f t="shared" si="3"/>
        <v>34557.970774999994</v>
      </c>
      <c r="W11" s="1064">
        <f t="shared" si="3"/>
        <v>35167.692387499992</v>
      </c>
      <c r="X11" s="1064">
        <f t="shared" si="3"/>
        <v>35777.41399999999</v>
      </c>
      <c r="Y11" s="1064">
        <f t="shared" si="3"/>
        <v>36387.135612499987</v>
      </c>
      <c r="Z11" s="1064">
        <f t="shared" si="3"/>
        <v>36996.857224999992</v>
      </c>
      <c r="AA11" s="1064">
        <f t="shared" si="3"/>
        <v>37606.578837499997</v>
      </c>
      <c r="AB11" s="1064">
        <f t="shared" si="3"/>
        <v>38216.300449999995</v>
      </c>
    </row>
    <row r="12" spans="1:28" x14ac:dyDescent="0.25">
      <c r="A12" s="1066"/>
      <c r="B12" s="1067"/>
      <c r="C12" s="1067"/>
      <c r="D12" s="1068"/>
      <c r="E12" s="1068"/>
      <c r="F12" s="1068"/>
      <c r="G12" s="1068"/>
      <c r="H12" s="1068"/>
      <c r="I12" s="768"/>
      <c r="J12" s="768"/>
      <c r="K12" s="768"/>
      <c r="L12" s="768"/>
      <c r="M12" s="768"/>
      <c r="N12" s="768"/>
      <c r="O12" s="1068"/>
      <c r="P12" s="1068"/>
      <c r="Q12" s="1068"/>
      <c r="R12" s="1068"/>
      <c r="S12" s="768"/>
      <c r="T12" s="768"/>
      <c r="U12" s="768"/>
      <c r="V12" s="768"/>
      <c r="W12" s="768"/>
      <c r="X12" s="768"/>
      <c r="Y12" s="768"/>
      <c r="Z12" s="768"/>
      <c r="AA12" s="768"/>
      <c r="AB12" s="768"/>
    </row>
    <row r="13" spans="1:28" x14ac:dyDescent="0.25">
      <c r="A13" s="1069"/>
      <c r="B13" s="1070"/>
      <c r="C13" s="1070"/>
      <c r="D13" s="1071"/>
      <c r="E13" s="1071"/>
      <c r="F13" s="1071"/>
      <c r="G13" s="1071"/>
      <c r="H13" s="1071"/>
      <c r="I13" s="1072"/>
      <c r="J13" s="1391"/>
      <c r="K13" s="1391"/>
      <c r="L13" s="1391"/>
      <c r="M13" s="1391"/>
      <c r="N13" s="1391"/>
      <c r="O13" s="1071"/>
      <c r="P13" s="1071"/>
      <c r="Q13" s="1071"/>
      <c r="R13" s="1071"/>
      <c r="S13" s="1072"/>
      <c r="T13" s="1391"/>
      <c r="U13" s="1391"/>
      <c r="V13" s="1391"/>
      <c r="W13" s="1391"/>
      <c r="X13" s="1391"/>
      <c r="Y13" s="1391"/>
      <c r="Z13" s="1391"/>
      <c r="AA13" s="1391"/>
      <c r="AB13" s="1391"/>
    </row>
    <row r="14" spans="1:28" x14ac:dyDescent="0.25">
      <c r="A14" s="1074" t="s">
        <v>245</v>
      </c>
      <c r="B14" s="1075"/>
      <c r="C14" s="1075"/>
      <c r="D14" s="1076">
        <f>+' A16 S. NORTE '!M27-' A16 S. NORTE '!I27</f>
        <v>4907.4540000000015</v>
      </c>
      <c r="E14" s="1076">
        <f>+D14+' A16 S. NORTE '!G81</f>
        <v>5283.8242500000015</v>
      </c>
      <c r="F14" s="1076">
        <f>+E14+'[2]ANEXOS '!$G$51</f>
        <v>5660.1945000000014</v>
      </c>
      <c r="G14" s="1076">
        <f>+F14+'[2]ANEXOS '!$G$51</f>
        <v>6036.5647500000014</v>
      </c>
      <c r="H14" s="1076">
        <f>+G14+'[2]ANEXOS '!$G$51</f>
        <v>6412.9350000000013</v>
      </c>
      <c r="I14" s="1076">
        <f>+H14+'[2]ANEXOS '!$G$51</f>
        <v>6789.3052500000013</v>
      </c>
      <c r="J14" s="1076">
        <f>+I14+'[2]ANEXOS '!$G$51</f>
        <v>7165.6755000000012</v>
      </c>
      <c r="K14" s="1076">
        <f>+J14+'[2]ANEXOS '!$G$51</f>
        <v>7542.0457500000011</v>
      </c>
      <c r="L14" s="1076">
        <f>+K14+'[2]ANEXOS '!$G$51</f>
        <v>7918.4160000000011</v>
      </c>
      <c r="M14" s="1076">
        <f>+L14+'[2]ANEXOS '!$G$51</f>
        <v>8294.786250000001</v>
      </c>
      <c r="N14" s="1076">
        <f>+M14+'[2]ANEXOS '!$G$51</f>
        <v>8671.156500000001</v>
      </c>
      <c r="O14" s="1076">
        <f>+N14+'[2]ANEXOS '!$G$51</f>
        <v>9047.5267500000009</v>
      </c>
      <c r="P14" s="1076">
        <f>+O14+'[2]ANEXOS '!$G$51</f>
        <v>9423.8970000000008</v>
      </c>
      <c r="Q14" s="1076">
        <f>+P14+'[2]ANEXOS '!$G$51</f>
        <v>9800.2672500000008</v>
      </c>
      <c r="R14" s="1076">
        <f>+Q14+'[2]ANEXOS '!$G$51</f>
        <v>10176.637500000001</v>
      </c>
      <c r="S14" s="1076">
        <f>+R14+'[2]ANEXOS '!$G$51</f>
        <v>10553.007750000001</v>
      </c>
      <c r="T14" s="1076">
        <f>+S14+'[2]ANEXOS '!$G$51</f>
        <v>10929.378000000001</v>
      </c>
      <c r="U14" s="1076">
        <f>+T14+'[2]ANEXOS '!$G$51</f>
        <v>11305.748250000001</v>
      </c>
      <c r="V14" s="1076">
        <f>+U14+'[2]ANEXOS '!$G$51</f>
        <v>11682.1185</v>
      </c>
      <c r="W14" s="1076">
        <f>+V14+'[2]ANEXOS '!$G$51</f>
        <v>12058.48875</v>
      </c>
      <c r="X14" s="1076">
        <f>+W14+'[2]ANEXOS '!$G$51</f>
        <v>12434.859</v>
      </c>
      <c r="Y14" s="1076">
        <f>+X14+'[2]ANEXOS '!$G$51</f>
        <v>12811.22925</v>
      </c>
      <c r="Z14" s="1076">
        <f>+Y14+'[2]ANEXOS '!$G$51</f>
        <v>13187.5995</v>
      </c>
      <c r="AA14" s="1076">
        <f>+Z14+'[2]ANEXOS '!$G$51</f>
        <v>13563.96975</v>
      </c>
      <c r="AB14" s="1076">
        <f>+AA14+'[2]ANEXOS '!$G$51</f>
        <v>13940.34</v>
      </c>
    </row>
    <row r="15" spans="1:28" x14ac:dyDescent="0.25">
      <c r="A15" s="1074" t="s">
        <v>246</v>
      </c>
      <c r="B15" s="1075"/>
      <c r="C15" s="1075"/>
      <c r="D15" s="1057">
        <f>+' A16 S. NORTE '!L27</f>
        <v>18675.5255</v>
      </c>
      <c r="E15" s="1057">
        <f t="shared" ref="E15:AB15" si="4">+E11-E14</f>
        <v>18908.879112499995</v>
      </c>
      <c r="F15" s="1057">
        <f t="shared" si="4"/>
        <v>19142.230474999997</v>
      </c>
      <c r="G15" s="1057">
        <f t="shared" si="4"/>
        <v>19375.581837499998</v>
      </c>
      <c r="H15" s="1057">
        <f t="shared" si="4"/>
        <v>19608.933199999996</v>
      </c>
      <c r="I15" s="1057">
        <f t="shared" si="4"/>
        <v>19842.284562499997</v>
      </c>
      <c r="J15" s="1057">
        <f t="shared" si="4"/>
        <v>20075.635924999995</v>
      </c>
      <c r="K15" s="1057">
        <f t="shared" si="4"/>
        <v>20308.987287499996</v>
      </c>
      <c r="L15" s="1057">
        <f t="shared" si="4"/>
        <v>20542.338649999994</v>
      </c>
      <c r="M15" s="1057">
        <f t="shared" si="4"/>
        <v>20775.690012499996</v>
      </c>
      <c r="N15" s="1057">
        <f t="shared" si="4"/>
        <v>21009.041374999993</v>
      </c>
      <c r="O15" s="1057">
        <f t="shared" si="4"/>
        <v>21242.392737499995</v>
      </c>
      <c r="P15" s="1057">
        <f t="shared" si="4"/>
        <v>21475.744099999993</v>
      </c>
      <c r="Q15" s="1057">
        <f t="shared" si="4"/>
        <v>21709.095462499994</v>
      </c>
      <c r="R15" s="1057">
        <f t="shared" si="4"/>
        <v>21942.446824999995</v>
      </c>
      <c r="S15" s="1057">
        <f t="shared" si="4"/>
        <v>22175.798187499993</v>
      </c>
      <c r="T15" s="1057">
        <f t="shared" si="4"/>
        <v>22409.149549999991</v>
      </c>
      <c r="U15" s="1057">
        <f t="shared" si="4"/>
        <v>22642.500912499996</v>
      </c>
      <c r="V15" s="1057">
        <f t="shared" si="4"/>
        <v>22875.852274999994</v>
      </c>
      <c r="W15" s="1057">
        <f t="shared" si="4"/>
        <v>23109.203637499992</v>
      </c>
      <c r="X15" s="1057">
        <f t="shared" si="4"/>
        <v>23342.554999999989</v>
      </c>
      <c r="Y15" s="1057">
        <f t="shared" si="4"/>
        <v>23575.906362499987</v>
      </c>
      <c r="Z15" s="1057">
        <f t="shared" si="4"/>
        <v>23809.257724999992</v>
      </c>
      <c r="AA15" s="1057">
        <f t="shared" si="4"/>
        <v>24042.609087499997</v>
      </c>
      <c r="AB15" s="1057">
        <f t="shared" si="4"/>
        <v>24275.960449999995</v>
      </c>
    </row>
    <row r="16" spans="1:28" ht="16.5" thickBot="1" x14ac:dyDescent="0.3">
      <c r="A16" s="1078" t="s">
        <v>247</v>
      </c>
      <c r="B16" s="1079"/>
      <c r="C16" s="1079"/>
      <c r="D16" s="1080">
        <v>0</v>
      </c>
      <c r="E16" s="1080">
        <f t="shared" ref="E16:AB16" si="5">E13+E14+E15</f>
        <v>24192.703362499997</v>
      </c>
      <c r="F16" s="1080">
        <f t="shared" si="5"/>
        <v>24802.424974999998</v>
      </c>
      <c r="G16" s="1080">
        <f t="shared" si="5"/>
        <v>25412.146587499999</v>
      </c>
      <c r="H16" s="1080">
        <f t="shared" si="5"/>
        <v>26021.868199999997</v>
      </c>
      <c r="I16" s="1080">
        <f t="shared" si="5"/>
        <v>26631.589812499999</v>
      </c>
      <c r="J16" s="1080">
        <f t="shared" si="5"/>
        <v>27241.311424999996</v>
      </c>
      <c r="K16" s="1080">
        <f t="shared" si="5"/>
        <v>27851.033037499998</v>
      </c>
      <c r="L16" s="1080">
        <f t="shared" si="5"/>
        <v>28460.754649999995</v>
      </c>
      <c r="M16" s="1080">
        <f t="shared" si="5"/>
        <v>29070.476262499997</v>
      </c>
      <c r="N16" s="1080">
        <f t="shared" si="5"/>
        <v>29680.197874999994</v>
      </c>
      <c r="O16" s="1080">
        <f t="shared" si="5"/>
        <v>30289.919487499996</v>
      </c>
      <c r="P16" s="1080">
        <f t="shared" si="5"/>
        <v>30899.641099999993</v>
      </c>
      <c r="Q16" s="1080">
        <f t="shared" si="5"/>
        <v>31509.362712499995</v>
      </c>
      <c r="R16" s="1080">
        <f t="shared" si="5"/>
        <v>32119.084324999996</v>
      </c>
      <c r="S16" s="1080">
        <f t="shared" si="5"/>
        <v>32728.805937499994</v>
      </c>
      <c r="T16" s="1080">
        <f t="shared" si="5"/>
        <v>33338.527549999992</v>
      </c>
      <c r="U16" s="1080">
        <f t="shared" si="5"/>
        <v>33948.249162499997</v>
      </c>
      <c r="V16" s="1080">
        <f t="shared" si="5"/>
        <v>34557.970774999994</v>
      </c>
      <c r="W16" s="1080">
        <f t="shared" si="5"/>
        <v>35167.692387499992</v>
      </c>
      <c r="X16" s="1080">
        <f t="shared" si="5"/>
        <v>35777.41399999999</v>
      </c>
      <c r="Y16" s="1080">
        <f t="shared" si="5"/>
        <v>36387.135612499987</v>
      </c>
      <c r="Z16" s="1080">
        <f t="shared" si="5"/>
        <v>36996.857224999992</v>
      </c>
      <c r="AA16" s="1080">
        <f t="shared" si="5"/>
        <v>37606.578837499997</v>
      </c>
      <c r="AB16" s="1080">
        <f t="shared" si="5"/>
        <v>38216.300449999995</v>
      </c>
    </row>
    <row r="17" spans="1:28" x14ac:dyDescent="0.25">
      <c r="A17" s="1067"/>
      <c r="B17" s="1041"/>
      <c r="C17" s="1041"/>
      <c r="D17" s="1068"/>
      <c r="E17" s="1083"/>
      <c r="F17" s="1083"/>
      <c r="G17" s="1083"/>
      <c r="H17" s="1083"/>
      <c r="I17" s="671"/>
      <c r="J17" s="671"/>
      <c r="K17" s="671"/>
      <c r="L17" s="671"/>
      <c r="M17" s="671"/>
      <c r="N17" s="671"/>
      <c r="O17" s="1083"/>
      <c r="P17" s="1083"/>
      <c r="Q17" s="1083"/>
      <c r="R17" s="1083"/>
    </row>
    <row r="18" spans="1:28" ht="16.5" thickBot="1" x14ac:dyDescent="0.3">
      <c r="A18" s="1067"/>
      <c r="B18" s="1067"/>
      <c r="C18" s="1392"/>
      <c r="D18" s="1068"/>
      <c r="E18" s="1083"/>
      <c r="F18" s="1083"/>
      <c r="G18" s="1083"/>
      <c r="H18" s="1083"/>
      <c r="I18" s="671"/>
      <c r="J18" s="671"/>
      <c r="K18" s="671"/>
      <c r="L18" s="671"/>
      <c r="M18" s="671"/>
      <c r="N18" s="671"/>
      <c r="O18" s="1083"/>
      <c r="P18" s="1083"/>
      <c r="Q18" s="1083"/>
      <c r="R18" s="1083"/>
    </row>
    <row r="19" spans="1:28" x14ac:dyDescent="0.25">
      <c r="A19" s="1084" t="s">
        <v>248</v>
      </c>
      <c r="B19" s="1085"/>
      <c r="C19" s="296"/>
      <c r="D19" s="1088">
        <v>0</v>
      </c>
      <c r="E19" s="1088">
        <v>1</v>
      </c>
      <c r="F19" s="1088">
        <v>2</v>
      </c>
      <c r="G19" s="1088">
        <v>3</v>
      </c>
      <c r="H19" s="1088">
        <v>4</v>
      </c>
      <c r="I19" s="1088">
        <v>5</v>
      </c>
      <c r="J19" s="1088">
        <v>6</v>
      </c>
      <c r="K19" s="1088">
        <v>7</v>
      </c>
      <c r="L19" s="1088">
        <v>8</v>
      </c>
      <c r="M19" s="1088">
        <v>9</v>
      </c>
      <c r="N19" s="1088">
        <v>10</v>
      </c>
      <c r="O19" s="1088">
        <v>11</v>
      </c>
      <c r="P19" s="1088">
        <v>12</v>
      </c>
      <c r="Q19" s="1088">
        <v>13</v>
      </c>
      <c r="R19" s="1088">
        <v>14</v>
      </c>
      <c r="S19" s="1088">
        <v>15</v>
      </c>
      <c r="T19" s="1088">
        <v>16</v>
      </c>
      <c r="U19" s="1088">
        <v>17</v>
      </c>
      <c r="V19" s="1088">
        <v>18</v>
      </c>
      <c r="W19" s="1088">
        <v>19</v>
      </c>
      <c r="X19" s="1088">
        <v>20</v>
      </c>
      <c r="Y19" s="1088">
        <v>21</v>
      </c>
      <c r="Z19" s="1088">
        <v>22</v>
      </c>
      <c r="AA19" s="1088">
        <v>23</v>
      </c>
      <c r="AB19" s="1088">
        <v>24</v>
      </c>
    </row>
    <row r="20" spans="1:28" x14ac:dyDescent="0.25">
      <c r="A20" s="860" t="s">
        <v>249</v>
      </c>
      <c r="B20" s="808"/>
      <c r="C20" s="808"/>
      <c r="D20" s="1090"/>
      <c r="E20" s="1057">
        <f>+' A16 S. NORTE '!G66+' A16 S. NORTE '!G65</f>
        <v>3443.8197500000001</v>
      </c>
      <c r="F20" s="1057">
        <f>+E20*(1+F29)</f>
        <v>3478.2579475000002</v>
      </c>
      <c r="G20" s="1057">
        <f t="shared" ref="G20:AB20" si="6">+F20*(1+G29)</f>
        <v>3513.0405269750004</v>
      </c>
      <c r="H20" s="1057">
        <f t="shared" si="6"/>
        <v>3548.1709322447505</v>
      </c>
      <c r="I20" s="1057">
        <f t="shared" si="6"/>
        <v>3583.6526415671979</v>
      </c>
      <c r="J20" s="1057">
        <f t="shared" si="6"/>
        <v>3619.4891679828697</v>
      </c>
      <c r="K20" s="1057">
        <f t="shared" si="6"/>
        <v>3655.6840596626985</v>
      </c>
      <c r="L20" s="1057">
        <f t="shared" si="6"/>
        <v>3692.2409002593254</v>
      </c>
      <c r="M20" s="1057">
        <f t="shared" si="6"/>
        <v>3729.1633092619186</v>
      </c>
      <c r="N20" s="1057">
        <f t="shared" si="6"/>
        <v>3766.4549423545377</v>
      </c>
      <c r="O20" s="1057">
        <f t="shared" si="6"/>
        <v>3804.1194917780831</v>
      </c>
      <c r="P20" s="1057">
        <f t="shared" si="6"/>
        <v>3842.1606866958641</v>
      </c>
      <c r="Q20" s="1057">
        <f t="shared" si="6"/>
        <v>3880.582293562823</v>
      </c>
      <c r="R20" s="1057">
        <f t="shared" si="6"/>
        <v>3919.3881164984514</v>
      </c>
      <c r="S20" s="1057">
        <f t="shared" si="6"/>
        <v>3958.5819976634361</v>
      </c>
      <c r="T20" s="1057">
        <f t="shared" si="6"/>
        <v>3998.1678176400706</v>
      </c>
      <c r="U20" s="1057">
        <f t="shared" si="6"/>
        <v>4038.1494958164712</v>
      </c>
      <c r="V20" s="1057">
        <f t="shared" si="6"/>
        <v>4078.5309907746359</v>
      </c>
      <c r="W20" s="1057">
        <f t="shared" si="6"/>
        <v>4119.3163006823825</v>
      </c>
      <c r="X20" s="1057">
        <f t="shared" si="6"/>
        <v>4160.5094636892063</v>
      </c>
      <c r="Y20" s="1057">
        <f t="shared" si="6"/>
        <v>4202.1145583260986</v>
      </c>
      <c r="Z20" s="1057">
        <f t="shared" si="6"/>
        <v>4244.13570390936</v>
      </c>
      <c r="AA20" s="1057">
        <f t="shared" si="6"/>
        <v>4286.5770609484534</v>
      </c>
      <c r="AB20" s="1057">
        <f t="shared" si="6"/>
        <v>4329.442831557938</v>
      </c>
    </row>
    <row r="21" spans="1:28" x14ac:dyDescent="0.25">
      <c r="A21" s="1074" t="s">
        <v>250</v>
      </c>
      <c r="B21" s="1093"/>
      <c r="C21" s="1093"/>
      <c r="D21" s="1094"/>
      <c r="E21" s="1076">
        <f>+E8*0.07</f>
        <v>654.91632499999992</v>
      </c>
      <c r="F21" s="1076">
        <f>+E21</f>
        <v>654.91632499999992</v>
      </c>
      <c r="G21" s="1076">
        <f t="shared" ref="G21:AB21" si="7">+F21</f>
        <v>654.91632499999992</v>
      </c>
      <c r="H21" s="1076">
        <f t="shared" si="7"/>
        <v>654.91632499999992</v>
      </c>
      <c r="I21" s="1076">
        <f t="shared" si="7"/>
        <v>654.91632499999992</v>
      </c>
      <c r="J21" s="1076">
        <f t="shared" si="7"/>
        <v>654.91632499999992</v>
      </c>
      <c r="K21" s="1076">
        <f t="shared" si="7"/>
        <v>654.91632499999992</v>
      </c>
      <c r="L21" s="1076">
        <f t="shared" si="7"/>
        <v>654.91632499999992</v>
      </c>
      <c r="M21" s="1076">
        <f t="shared" si="7"/>
        <v>654.91632499999992</v>
      </c>
      <c r="N21" s="1076">
        <f t="shared" si="7"/>
        <v>654.91632499999992</v>
      </c>
      <c r="O21" s="1076">
        <f t="shared" si="7"/>
        <v>654.91632499999992</v>
      </c>
      <c r="P21" s="1076">
        <f t="shared" si="7"/>
        <v>654.91632499999992</v>
      </c>
      <c r="Q21" s="1076">
        <f t="shared" si="7"/>
        <v>654.91632499999992</v>
      </c>
      <c r="R21" s="1076">
        <f t="shared" si="7"/>
        <v>654.91632499999992</v>
      </c>
      <c r="S21" s="1076">
        <f t="shared" si="7"/>
        <v>654.91632499999992</v>
      </c>
      <c r="T21" s="1076">
        <f t="shared" si="7"/>
        <v>654.91632499999992</v>
      </c>
      <c r="U21" s="1076">
        <f t="shared" si="7"/>
        <v>654.91632499999992</v>
      </c>
      <c r="V21" s="1076">
        <f t="shared" si="7"/>
        <v>654.91632499999992</v>
      </c>
      <c r="W21" s="1076">
        <f t="shared" si="7"/>
        <v>654.91632499999992</v>
      </c>
      <c r="X21" s="1076">
        <f t="shared" si="7"/>
        <v>654.91632499999992</v>
      </c>
      <c r="Y21" s="1076">
        <f t="shared" si="7"/>
        <v>654.91632499999992</v>
      </c>
      <c r="Z21" s="1076">
        <f t="shared" si="7"/>
        <v>654.91632499999992</v>
      </c>
      <c r="AA21" s="1076">
        <f t="shared" si="7"/>
        <v>654.91632499999992</v>
      </c>
      <c r="AB21" s="1076">
        <f t="shared" si="7"/>
        <v>654.91632499999992</v>
      </c>
    </row>
    <row r="22" spans="1:28" x14ac:dyDescent="0.25">
      <c r="A22" s="1095" t="s">
        <v>251</v>
      </c>
      <c r="B22" s="1096"/>
      <c r="C22" s="1096"/>
      <c r="D22" s="1097"/>
      <c r="E22" s="1098">
        <f t="shared" ref="E22:X22" si="8">+E20-E21</f>
        <v>2788.9034250000004</v>
      </c>
      <c r="F22" s="1098">
        <f t="shared" si="8"/>
        <v>2823.3416225000001</v>
      </c>
      <c r="G22" s="1098">
        <f t="shared" si="8"/>
        <v>2858.1242019750007</v>
      </c>
      <c r="H22" s="1098">
        <f t="shared" si="8"/>
        <v>2893.2546072447503</v>
      </c>
      <c r="I22" s="1098">
        <f t="shared" si="8"/>
        <v>2928.7363165671977</v>
      </c>
      <c r="J22" s="1098">
        <f t="shared" si="8"/>
        <v>2964.5728429828696</v>
      </c>
      <c r="K22" s="1098">
        <f t="shared" si="8"/>
        <v>3000.7677346626988</v>
      </c>
      <c r="L22" s="1098">
        <f t="shared" si="8"/>
        <v>3037.3245752593257</v>
      </c>
      <c r="M22" s="1098">
        <f t="shared" si="8"/>
        <v>3074.2469842619184</v>
      </c>
      <c r="N22" s="1098">
        <f t="shared" si="8"/>
        <v>3111.5386173545376</v>
      </c>
      <c r="O22" s="1098">
        <f t="shared" si="8"/>
        <v>3149.203166778083</v>
      </c>
      <c r="P22" s="1098">
        <f t="shared" si="8"/>
        <v>3187.2443616958644</v>
      </c>
      <c r="Q22" s="1098">
        <f t="shared" si="8"/>
        <v>3225.6659685628229</v>
      </c>
      <c r="R22" s="1098">
        <f t="shared" si="8"/>
        <v>3264.4717914984512</v>
      </c>
      <c r="S22" s="1098">
        <f t="shared" si="8"/>
        <v>3303.6656726634365</v>
      </c>
      <c r="T22" s="1098">
        <f t="shared" si="8"/>
        <v>3343.2514926400709</v>
      </c>
      <c r="U22" s="1098">
        <f t="shared" si="8"/>
        <v>3383.2331708164711</v>
      </c>
      <c r="V22" s="1098">
        <f t="shared" si="8"/>
        <v>3423.6146657746358</v>
      </c>
      <c r="W22" s="1098">
        <f t="shared" si="8"/>
        <v>3464.3999756823823</v>
      </c>
      <c r="X22" s="1098">
        <f t="shared" si="8"/>
        <v>3505.5931386892062</v>
      </c>
      <c r="Y22" s="1098">
        <f>+Y20-Y21</f>
        <v>3547.1982333260985</v>
      </c>
      <c r="Z22" s="1098">
        <f>+Z20-Z21</f>
        <v>3589.2193789093599</v>
      </c>
      <c r="AA22" s="1098">
        <f>+AA20-AA21</f>
        <v>3631.6607359484533</v>
      </c>
      <c r="AB22" s="1098">
        <f>+AB20-AB21</f>
        <v>3674.5265065579379</v>
      </c>
    </row>
    <row r="23" spans="1:28" x14ac:dyDescent="0.25">
      <c r="A23" s="860" t="s">
        <v>252</v>
      </c>
      <c r="B23" s="808"/>
      <c r="C23" s="808"/>
      <c r="D23" s="1100"/>
      <c r="E23" s="1076">
        <f t="shared" ref="E23:AB23" si="9">+(D14+E14)/2*E31</f>
        <v>356.69473875000011</v>
      </c>
      <c r="F23" s="1076">
        <f t="shared" si="9"/>
        <v>383.04065625000015</v>
      </c>
      <c r="G23" s="1076">
        <f t="shared" si="9"/>
        <v>409.38657375000014</v>
      </c>
      <c r="H23" s="1076">
        <f t="shared" si="9"/>
        <v>435.73249125000012</v>
      </c>
      <c r="I23" s="1076">
        <f t="shared" si="9"/>
        <v>462.07840875000011</v>
      </c>
      <c r="J23" s="1076">
        <f t="shared" si="9"/>
        <v>488.42432625000015</v>
      </c>
      <c r="K23" s="1076">
        <f t="shared" si="9"/>
        <v>514.77024375000008</v>
      </c>
      <c r="L23" s="1076">
        <f t="shared" si="9"/>
        <v>541.11616125000012</v>
      </c>
      <c r="M23" s="1076">
        <f t="shared" si="9"/>
        <v>567.46207875000016</v>
      </c>
      <c r="N23" s="1076">
        <f t="shared" si="9"/>
        <v>593.80799625000009</v>
      </c>
      <c r="O23" s="1076">
        <f t="shared" si="9"/>
        <v>620.15391375000013</v>
      </c>
      <c r="P23" s="1076">
        <f t="shared" si="9"/>
        <v>646.49983125000017</v>
      </c>
      <c r="Q23" s="1076">
        <f t="shared" si="9"/>
        <v>672.8457487500001</v>
      </c>
      <c r="R23" s="1076">
        <f t="shared" si="9"/>
        <v>699.19166625000014</v>
      </c>
      <c r="S23" s="1076">
        <f t="shared" si="9"/>
        <v>725.53758375000007</v>
      </c>
      <c r="T23" s="1076">
        <f t="shared" si="9"/>
        <v>751.88350125000011</v>
      </c>
      <c r="U23" s="1076">
        <f t="shared" si="9"/>
        <v>778.22941875000015</v>
      </c>
      <c r="V23" s="1076">
        <f t="shared" si="9"/>
        <v>804.57533625000008</v>
      </c>
      <c r="W23" s="1076">
        <f t="shared" si="9"/>
        <v>830.92125375000012</v>
      </c>
      <c r="X23" s="1076">
        <f t="shared" si="9"/>
        <v>857.26717125000016</v>
      </c>
      <c r="Y23" s="1076">
        <f t="shared" si="9"/>
        <v>883.61308875000009</v>
      </c>
      <c r="Z23" s="1076">
        <f t="shared" si="9"/>
        <v>909.95900625000013</v>
      </c>
      <c r="AA23" s="1076">
        <f t="shared" si="9"/>
        <v>936.30492375000006</v>
      </c>
      <c r="AB23" s="1076">
        <f t="shared" si="9"/>
        <v>962.6508412500001</v>
      </c>
    </row>
    <row r="24" spans="1:28" x14ac:dyDescent="0.25">
      <c r="A24" s="1104" t="s">
        <v>253</v>
      </c>
      <c r="B24" s="1105" t="s">
        <v>1267</v>
      </c>
      <c r="C24" s="1105"/>
      <c r="D24" s="1106"/>
      <c r="E24" s="1107">
        <f t="shared" ref="E24:X24" si="10">+E22-E23</f>
        <v>2432.2086862500005</v>
      </c>
      <c r="F24" s="1107">
        <f t="shared" si="10"/>
        <v>2440.3009662499999</v>
      </c>
      <c r="G24" s="1107">
        <f t="shared" si="10"/>
        <v>2448.7376282250007</v>
      </c>
      <c r="H24" s="1107">
        <f t="shared" si="10"/>
        <v>2457.52211599475</v>
      </c>
      <c r="I24" s="1107">
        <f t="shared" si="10"/>
        <v>2466.6579078171976</v>
      </c>
      <c r="J24" s="1107">
        <f t="shared" si="10"/>
        <v>2476.1485167328692</v>
      </c>
      <c r="K24" s="1107">
        <f t="shared" si="10"/>
        <v>2485.9974909126986</v>
      </c>
      <c r="L24" s="1107">
        <f t="shared" si="10"/>
        <v>2496.2084140093257</v>
      </c>
      <c r="M24" s="1107">
        <f t="shared" si="10"/>
        <v>2506.7849055119182</v>
      </c>
      <c r="N24" s="1107">
        <f t="shared" si="10"/>
        <v>2517.7306211045375</v>
      </c>
      <c r="O24" s="1107">
        <f t="shared" si="10"/>
        <v>2529.0492530280826</v>
      </c>
      <c r="P24" s="1107">
        <f t="shared" si="10"/>
        <v>2540.7445304458643</v>
      </c>
      <c r="Q24" s="1107">
        <f t="shared" si="10"/>
        <v>2552.8202198128229</v>
      </c>
      <c r="R24" s="1107">
        <f t="shared" si="10"/>
        <v>2565.280125248451</v>
      </c>
      <c r="S24" s="1107">
        <f t="shared" si="10"/>
        <v>2578.1280889134364</v>
      </c>
      <c r="T24" s="1107">
        <f t="shared" si="10"/>
        <v>2591.3679913900705</v>
      </c>
      <c r="U24" s="1107">
        <f t="shared" si="10"/>
        <v>2605.003752066471</v>
      </c>
      <c r="V24" s="1107">
        <f t="shared" si="10"/>
        <v>2619.0393295246358</v>
      </c>
      <c r="W24" s="1107">
        <f t="shared" si="10"/>
        <v>2633.4787219323821</v>
      </c>
      <c r="X24" s="1107">
        <f t="shared" si="10"/>
        <v>2648.3259674392061</v>
      </c>
      <c r="Y24" s="1107">
        <f>+Y22-Y23</f>
        <v>2663.5851445760982</v>
      </c>
      <c r="Z24" s="1107">
        <f>+Z22-Z23</f>
        <v>2679.2603726593597</v>
      </c>
      <c r="AA24" s="1107">
        <f>+AA22-AA23</f>
        <v>2695.3558121984533</v>
      </c>
      <c r="AB24" s="1107">
        <f>+AB22-AB23</f>
        <v>2711.8756653079377</v>
      </c>
    </row>
    <row r="25" spans="1:28" x14ac:dyDescent="0.25">
      <c r="A25" s="860" t="s">
        <v>254</v>
      </c>
      <c r="B25" s="808"/>
      <c r="C25" s="808"/>
      <c r="D25" s="1100"/>
      <c r="E25" s="1076">
        <f t="shared" ref="E25:N25" si="11">E24*E30</f>
        <v>851.2730401875001</v>
      </c>
      <c r="F25" s="1076">
        <f t="shared" si="11"/>
        <v>854.10533818749991</v>
      </c>
      <c r="G25" s="1076">
        <f t="shared" si="11"/>
        <v>857.05816987875016</v>
      </c>
      <c r="H25" s="1076">
        <f t="shared" si="11"/>
        <v>860.13274059816251</v>
      </c>
      <c r="I25" s="1076">
        <f t="shared" si="11"/>
        <v>863.3302677360191</v>
      </c>
      <c r="J25" s="1076">
        <f t="shared" si="11"/>
        <v>866.65198085650422</v>
      </c>
      <c r="K25" s="1076">
        <f t="shared" si="11"/>
        <v>870.09912181944446</v>
      </c>
      <c r="L25" s="1076">
        <f t="shared" si="11"/>
        <v>873.6729449032639</v>
      </c>
      <c r="M25" s="1076">
        <f t="shared" si="11"/>
        <v>877.37471692917131</v>
      </c>
      <c r="N25" s="1076">
        <f t="shared" si="11"/>
        <v>881.20571738658805</v>
      </c>
      <c r="O25" s="1393">
        <f t="shared" ref="O25:AB25" si="12">+N25*(1+O$29)</f>
        <v>890.01777456045397</v>
      </c>
      <c r="P25" s="1393">
        <f t="shared" si="12"/>
        <v>898.91795230605851</v>
      </c>
      <c r="Q25" s="1393">
        <f t="shared" si="12"/>
        <v>907.90713182911907</v>
      </c>
      <c r="R25" s="1393">
        <f t="shared" si="12"/>
        <v>916.98620314741027</v>
      </c>
      <c r="S25" s="1393">
        <f t="shared" si="12"/>
        <v>926.15606517888443</v>
      </c>
      <c r="T25" s="1393">
        <f t="shared" si="12"/>
        <v>935.41762583067327</v>
      </c>
      <c r="U25" s="1393">
        <f t="shared" si="12"/>
        <v>944.77180208898005</v>
      </c>
      <c r="V25" s="1393">
        <f t="shared" si="12"/>
        <v>954.2195201098699</v>
      </c>
      <c r="W25" s="1393">
        <f t="shared" si="12"/>
        <v>963.76171531096861</v>
      </c>
      <c r="X25" s="1393">
        <f t="shared" si="12"/>
        <v>973.39933246407827</v>
      </c>
      <c r="Y25" s="1393">
        <f t="shared" si="12"/>
        <v>983.13332578871905</v>
      </c>
      <c r="Z25" s="1393">
        <f t="shared" si="12"/>
        <v>992.96465904660624</v>
      </c>
      <c r="AA25" s="1393">
        <f t="shared" si="12"/>
        <v>1002.8943056370723</v>
      </c>
      <c r="AB25" s="1393">
        <f t="shared" si="12"/>
        <v>1012.923248693443</v>
      </c>
    </row>
    <row r="26" spans="1:28" x14ac:dyDescent="0.25">
      <c r="A26" s="1394" t="s">
        <v>255</v>
      </c>
      <c r="B26" s="1395"/>
      <c r="C26" s="1395"/>
      <c r="D26" s="1396"/>
      <c r="E26" s="1397">
        <f t="shared" ref="E26:X26" si="13">E24-E25</f>
        <v>1580.9356460625004</v>
      </c>
      <c r="F26" s="1397">
        <f t="shared" si="13"/>
        <v>1586.1956280625</v>
      </c>
      <c r="G26" s="1397">
        <f t="shared" si="13"/>
        <v>1591.6794583462506</v>
      </c>
      <c r="H26" s="1397">
        <f t="shared" si="13"/>
        <v>1597.3893753965876</v>
      </c>
      <c r="I26" s="1398">
        <f t="shared" si="13"/>
        <v>1603.3276400811785</v>
      </c>
      <c r="J26" s="1398">
        <f t="shared" si="13"/>
        <v>1609.496535876365</v>
      </c>
      <c r="K26" s="1398">
        <f t="shared" si="13"/>
        <v>1615.8983690932541</v>
      </c>
      <c r="L26" s="1398">
        <f t="shared" si="13"/>
        <v>1622.5354691060618</v>
      </c>
      <c r="M26" s="1398">
        <f t="shared" si="13"/>
        <v>1629.4101885827467</v>
      </c>
      <c r="N26" s="1398">
        <f t="shared" si="13"/>
        <v>1636.5249037179494</v>
      </c>
      <c r="O26" s="1397">
        <f t="shared" si="13"/>
        <v>1639.0314784676286</v>
      </c>
      <c r="P26" s="1397">
        <f t="shared" si="13"/>
        <v>1641.8265781398059</v>
      </c>
      <c r="Q26" s="1397">
        <f t="shared" si="13"/>
        <v>1644.9130879837039</v>
      </c>
      <c r="R26" s="1397">
        <f t="shared" si="13"/>
        <v>1648.2939221010406</v>
      </c>
      <c r="S26" s="1398">
        <f t="shared" si="13"/>
        <v>1651.9720237345518</v>
      </c>
      <c r="T26" s="1398">
        <f t="shared" si="13"/>
        <v>1655.9503655593971</v>
      </c>
      <c r="U26" s="1398">
        <f t="shared" si="13"/>
        <v>1660.2319499774908</v>
      </c>
      <c r="V26" s="1398">
        <f t="shared" si="13"/>
        <v>1664.819809414766</v>
      </c>
      <c r="W26" s="1398">
        <f t="shared" si="13"/>
        <v>1669.7170066214135</v>
      </c>
      <c r="X26" s="1398">
        <f t="shared" si="13"/>
        <v>1674.9266349751279</v>
      </c>
      <c r="Y26" s="1398">
        <f>Y24-Y25</f>
        <v>1680.4518187873791</v>
      </c>
      <c r="Z26" s="1398">
        <f>Z24-Z25</f>
        <v>1686.2957136127534</v>
      </c>
      <c r="AA26" s="1398">
        <f>AA24-AA25</f>
        <v>1692.4615065613812</v>
      </c>
      <c r="AB26" s="1398">
        <f>AB24-AB25</f>
        <v>1698.9524166144947</v>
      </c>
    </row>
    <row r="28" spans="1:28" x14ac:dyDescent="0.25">
      <c r="A28" s="768"/>
      <c r="B28" s="768"/>
      <c r="C28" s="768"/>
      <c r="D28" s="1088">
        <v>0</v>
      </c>
      <c r="E28" s="1088">
        <v>1</v>
      </c>
      <c r="F28" s="1088">
        <v>2</v>
      </c>
      <c r="G28" s="1088">
        <v>3</v>
      </c>
      <c r="H28" s="1088">
        <v>4</v>
      </c>
      <c r="I28" s="1088">
        <v>5</v>
      </c>
      <c r="J28" s="1088">
        <v>6</v>
      </c>
      <c r="K28" s="1088">
        <v>7</v>
      </c>
      <c r="L28" s="1088">
        <v>8</v>
      </c>
      <c r="M28" s="1088">
        <v>9</v>
      </c>
      <c r="N28" s="1088">
        <v>10</v>
      </c>
      <c r="O28" s="1088">
        <v>11</v>
      </c>
      <c r="P28" s="1088">
        <v>12</v>
      </c>
      <c r="Q28" s="1088">
        <v>13</v>
      </c>
      <c r="R28" s="1088">
        <v>14</v>
      </c>
      <c r="S28" s="1088">
        <v>15</v>
      </c>
      <c r="T28" s="1088">
        <v>16</v>
      </c>
      <c r="U28" s="1088">
        <v>17</v>
      </c>
      <c r="V28" s="1088">
        <v>18</v>
      </c>
      <c r="W28" s="1088">
        <v>19</v>
      </c>
      <c r="X28" s="1088">
        <v>20</v>
      </c>
      <c r="Y28" s="1088">
        <v>21</v>
      </c>
      <c r="Z28" s="1088">
        <v>22</v>
      </c>
      <c r="AA28" s="1088">
        <v>23</v>
      </c>
      <c r="AB28" s="1088">
        <v>24</v>
      </c>
    </row>
    <row r="29" spans="1:28" x14ac:dyDescent="0.25">
      <c r="A29" s="1399" t="s">
        <v>256</v>
      </c>
      <c r="B29" s="1399" t="s">
        <v>257</v>
      </c>
      <c r="C29" s="1399"/>
      <c r="D29" s="1400">
        <v>0.01</v>
      </c>
      <c r="E29" s="1400">
        <v>0.01</v>
      </c>
      <c r="F29" s="1400">
        <v>0.01</v>
      </c>
      <c r="G29" s="1400">
        <v>0.01</v>
      </c>
      <c r="H29" s="1400">
        <v>0.01</v>
      </c>
      <c r="I29" s="1400">
        <v>0.01</v>
      </c>
      <c r="J29" s="1400">
        <v>0.01</v>
      </c>
      <c r="K29" s="1400">
        <v>0.01</v>
      </c>
      <c r="L29" s="1400">
        <v>0.01</v>
      </c>
      <c r="M29" s="1400">
        <v>0.01</v>
      </c>
      <c r="N29" s="1400">
        <v>0.01</v>
      </c>
      <c r="O29" s="1400">
        <v>0.01</v>
      </c>
      <c r="P29" s="1400">
        <v>0.01</v>
      </c>
      <c r="Q29" s="1400">
        <v>0.01</v>
      </c>
      <c r="R29" s="1400">
        <v>0.01</v>
      </c>
      <c r="S29" s="1400">
        <v>0.01</v>
      </c>
      <c r="T29" s="1400">
        <v>0.01</v>
      </c>
      <c r="U29" s="1400">
        <v>0.01</v>
      </c>
      <c r="V29" s="1400">
        <v>0.01</v>
      </c>
      <c r="W29" s="1400">
        <v>0.01</v>
      </c>
      <c r="X29" s="1400">
        <v>0.01</v>
      </c>
      <c r="Y29" s="1400">
        <v>0.01</v>
      </c>
      <c r="Z29" s="1400">
        <v>0.01</v>
      </c>
      <c r="AA29" s="1400">
        <v>0.01</v>
      </c>
      <c r="AB29" s="1400">
        <v>0.01</v>
      </c>
    </row>
    <row r="30" spans="1:28" x14ac:dyDescent="0.25">
      <c r="A30" s="1399" t="s">
        <v>258</v>
      </c>
      <c r="B30" s="1399" t="s">
        <v>259</v>
      </c>
      <c r="C30" s="1399"/>
      <c r="D30" s="1401">
        <v>0.35</v>
      </c>
      <c r="E30" s="1401">
        <v>0.35</v>
      </c>
      <c r="F30" s="1401">
        <v>0.35</v>
      </c>
      <c r="G30" s="1401">
        <v>0.35</v>
      </c>
      <c r="H30" s="1401">
        <v>0.35</v>
      </c>
      <c r="I30" s="1401">
        <v>0.35</v>
      </c>
      <c r="J30" s="1401">
        <v>0.35</v>
      </c>
      <c r="K30" s="1401">
        <v>0.35</v>
      </c>
      <c r="L30" s="1401">
        <v>0.35</v>
      </c>
      <c r="M30" s="1401">
        <v>0.35</v>
      </c>
      <c r="N30" s="1401">
        <v>0.35</v>
      </c>
      <c r="O30" s="1401">
        <v>0.35</v>
      </c>
      <c r="P30" s="1401">
        <v>0.35</v>
      </c>
      <c r="Q30" s="1401">
        <v>0.35</v>
      </c>
      <c r="R30" s="1401">
        <v>0.35</v>
      </c>
      <c r="S30" s="1401">
        <v>0.35</v>
      </c>
      <c r="T30" s="1401">
        <v>0.35</v>
      </c>
      <c r="U30" s="1401">
        <v>0.35</v>
      </c>
      <c r="V30" s="1401">
        <v>0.35</v>
      </c>
      <c r="W30" s="1401">
        <v>0.35</v>
      </c>
      <c r="X30" s="1401">
        <v>0.35</v>
      </c>
      <c r="Y30" s="1401">
        <v>0.35</v>
      </c>
      <c r="Z30" s="1401">
        <v>0.35</v>
      </c>
      <c r="AA30" s="1401">
        <v>0.35</v>
      </c>
      <c r="AB30" s="1401">
        <v>0.35</v>
      </c>
    </row>
    <row r="31" spans="1:28" x14ac:dyDescent="0.25">
      <c r="A31" s="1399" t="s">
        <v>260</v>
      </c>
      <c r="B31" s="1399" t="s">
        <v>261</v>
      </c>
      <c r="C31" s="1399"/>
      <c r="D31" s="1400">
        <v>7.0000000000000007E-2</v>
      </c>
      <c r="E31" s="1400">
        <v>7.0000000000000007E-2</v>
      </c>
      <c r="F31" s="1400">
        <v>7.0000000000000007E-2</v>
      </c>
      <c r="G31" s="1400">
        <v>7.0000000000000007E-2</v>
      </c>
      <c r="H31" s="1400">
        <v>7.0000000000000007E-2</v>
      </c>
      <c r="I31" s="1400">
        <v>7.0000000000000007E-2</v>
      </c>
      <c r="J31" s="1400">
        <v>7.0000000000000007E-2</v>
      </c>
      <c r="K31" s="1400">
        <v>7.0000000000000007E-2</v>
      </c>
      <c r="L31" s="1400">
        <v>7.0000000000000007E-2</v>
      </c>
      <c r="M31" s="1400">
        <v>7.0000000000000007E-2</v>
      </c>
      <c r="N31" s="1400">
        <v>7.0000000000000007E-2</v>
      </c>
      <c r="O31" s="1400">
        <v>7.0000000000000007E-2</v>
      </c>
      <c r="P31" s="1400">
        <v>7.0000000000000007E-2</v>
      </c>
      <c r="Q31" s="1400">
        <v>7.0000000000000007E-2</v>
      </c>
      <c r="R31" s="1400">
        <v>7.0000000000000007E-2</v>
      </c>
      <c r="S31" s="1400">
        <v>7.0000000000000007E-2</v>
      </c>
      <c r="T31" s="1400">
        <v>7.0000000000000007E-2</v>
      </c>
      <c r="U31" s="1400">
        <v>7.0000000000000007E-2</v>
      </c>
      <c r="V31" s="1400">
        <v>7.0000000000000007E-2</v>
      </c>
      <c r="W31" s="1400">
        <v>7.0000000000000007E-2</v>
      </c>
      <c r="X31" s="1400">
        <v>7.0000000000000007E-2</v>
      </c>
      <c r="Y31" s="1400">
        <v>7.0000000000000007E-2</v>
      </c>
      <c r="Z31" s="1400">
        <v>7.0000000000000007E-2</v>
      </c>
      <c r="AA31" s="1400">
        <v>7.0000000000000007E-2</v>
      </c>
      <c r="AB31" s="1400">
        <v>7.0000000000000007E-2</v>
      </c>
    </row>
    <row r="32" spans="1:28" x14ac:dyDescent="0.25">
      <c r="A32" s="1399" t="s">
        <v>262</v>
      </c>
      <c r="B32" s="1399" t="s">
        <v>263</v>
      </c>
      <c r="C32" s="1399"/>
      <c r="D32" s="1400">
        <v>0.04</v>
      </c>
      <c r="E32" s="1400">
        <v>0.04</v>
      </c>
      <c r="F32" s="1400">
        <v>0.04</v>
      </c>
      <c r="G32" s="1400">
        <v>0.04</v>
      </c>
      <c r="H32" s="1400">
        <v>0.04</v>
      </c>
      <c r="I32" s="1400">
        <v>0.04</v>
      </c>
      <c r="J32" s="1400">
        <v>0.04</v>
      </c>
      <c r="K32" s="1400">
        <v>0.04</v>
      </c>
      <c r="L32" s="1400">
        <v>0.04</v>
      </c>
      <c r="M32" s="1400">
        <v>0.04</v>
      </c>
      <c r="N32" s="1400">
        <v>0.04</v>
      </c>
      <c r="O32" s="1400">
        <v>0.04</v>
      </c>
      <c r="P32" s="1400">
        <v>0.04</v>
      </c>
      <c r="Q32" s="1400">
        <v>0.04</v>
      </c>
      <c r="R32" s="1400">
        <v>0.04</v>
      </c>
      <c r="S32" s="1400">
        <v>0.04</v>
      </c>
      <c r="T32" s="1400">
        <v>0.04</v>
      </c>
      <c r="U32" s="1400">
        <v>0.04</v>
      </c>
      <c r="V32" s="1400">
        <v>0.04</v>
      </c>
      <c r="W32" s="1400">
        <v>0.04</v>
      </c>
      <c r="X32" s="1400">
        <v>0.04</v>
      </c>
      <c r="Y32" s="1400">
        <v>0.04</v>
      </c>
      <c r="Z32" s="1400">
        <v>0.04</v>
      </c>
      <c r="AA32" s="1400">
        <v>0.04</v>
      </c>
      <c r="AB32" s="1400">
        <v>0.04</v>
      </c>
    </row>
    <row r="33" spans="1:28" x14ac:dyDescent="0.25">
      <c r="A33" s="1399" t="s">
        <v>264</v>
      </c>
      <c r="B33" s="1399" t="s">
        <v>265</v>
      </c>
      <c r="C33" s="1399"/>
      <c r="D33" s="1400">
        <v>0.08</v>
      </c>
      <c r="E33" s="1400">
        <v>0.08</v>
      </c>
      <c r="F33" s="1400">
        <v>0.08</v>
      </c>
      <c r="G33" s="1400">
        <v>0.08</v>
      </c>
      <c r="H33" s="1400">
        <v>0.08</v>
      </c>
      <c r="I33" s="1400">
        <v>0.08</v>
      </c>
      <c r="J33" s="1400">
        <v>0.08</v>
      </c>
      <c r="K33" s="1400">
        <v>0.08</v>
      </c>
      <c r="L33" s="1400">
        <v>0.08</v>
      </c>
      <c r="M33" s="1400">
        <v>0.08</v>
      </c>
      <c r="N33" s="1400">
        <v>0.08</v>
      </c>
      <c r="O33" s="1400">
        <v>0.08</v>
      </c>
      <c r="P33" s="1400">
        <v>0.08</v>
      </c>
      <c r="Q33" s="1400">
        <v>0.08</v>
      </c>
      <c r="R33" s="1400">
        <v>0.08</v>
      </c>
      <c r="S33" s="1400">
        <v>0.08</v>
      </c>
      <c r="T33" s="1400">
        <v>0.08</v>
      </c>
      <c r="U33" s="1400">
        <v>0.08</v>
      </c>
      <c r="V33" s="1400">
        <v>0.08</v>
      </c>
      <c r="W33" s="1400">
        <v>0.08</v>
      </c>
      <c r="X33" s="1400">
        <v>0.08</v>
      </c>
      <c r="Y33" s="1400">
        <v>0.08</v>
      </c>
      <c r="Z33" s="1400">
        <v>0.08</v>
      </c>
      <c r="AA33" s="1400">
        <v>0.08</v>
      </c>
      <c r="AB33" s="1400">
        <v>0.08</v>
      </c>
    </row>
    <row r="34" spans="1:28" x14ac:dyDescent="0.25">
      <c r="A34" s="1399" t="s">
        <v>266</v>
      </c>
      <c r="B34" s="1399" t="s">
        <v>267</v>
      </c>
      <c r="C34" s="1399"/>
      <c r="D34" s="1402">
        <v>0.9</v>
      </c>
      <c r="E34" s="1402">
        <v>0.9</v>
      </c>
      <c r="F34" s="1402">
        <v>0.9</v>
      </c>
      <c r="G34" s="1402">
        <v>0.9</v>
      </c>
      <c r="H34" s="1402">
        <v>0.9</v>
      </c>
      <c r="I34" s="1402">
        <v>0.9</v>
      </c>
      <c r="J34" s="1402">
        <v>0.9</v>
      </c>
      <c r="K34" s="1402">
        <v>0.9</v>
      </c>
      <c r="L34" s="1402">
        <v>0.9</v>
      </c>
      <c r="M34" s="1402">
        <v>0.9</v>
      </c>
      <c r="N34" s="1402">
        <v>0.9</v>
      </c>
      <c r="O34" s="1402">
        <v>0.9</v>
      </c>
      <c r="P34" s="1402">
        <v>0.9</v>
      </c>
      <c r="Q34" s="1402">
        <v>0.9</v>
      </c>
      <c r="R34" s="1402">
        <v>0.9</v>
      </c>
      <c r="S34" s="1402">
        <v>0.9</v>
      </c>
      <c r="T34" s="1402">
        <v>0.9</v>
      </c>
      <c r="U34" s="1402">
        <v>0.9</v>
      </c>
      <c r="V34" s="1402">
        <v>0.9</v>
      </c>
      <c r="W34" s="1402">
        <v>0.9</v>
      </c>
      <c r="X34" s="1402">
        <v>0.9</v>
      </c>
      <c r="Y34" s="1402">
        <v>0.9</v>
      </c>
      <c r="Z34" s="1402">
        <v>0.9</v>
      </c>
      <c r="AA34" s="1402">
        <v>0.9</v>
      </c>
      <c r="AB34" s="1402">
        <v>0.9</v>
      </c>
    </row>
    <row r="35" spans="1:28" x14ac:dyDescent="0.25">
      <c r="A35" s="1399" t="s">
        <v>268</v>
      </c>
      <c r="B35" s="1399" t="s">
        <v>269</v>
      </c>
      <c r="C35" s="1399" t="s">
        <v>324</v>
      </c>
      <c r="D35" s="1400">
        <v>7.0000000000000007E-2</v>
      </c>
      <c r="E35" s="1400">
        <v>7.0000000000000007E-2</v>
      </c>
      <c r="F35" s="1400">
        <v>7.0000000000000007E-2</v>
      </c>
      <c r="G35" s="1400">
        <v>7.0000000000000007E-2</v>
      </c>
      <c r="H35" s="1400">
        <v>7.0000000000000007E-2</v>
      </c>
      <c r="I35" s="1400">
        <v>7.0000000000000007E-2</v>
      </c>
      <c r="J35" s="1400">
        <v>7.0000000000000007E-2</v>
      </c>
      <c r="K35" s="1400">
        <v>7.0000000000000007E-2</v>
      </c>
      <c r="L35" s="1400">
        <v>7.0000000000000007E-2</v>
      </c>
      <c r="M35" s="1400">
        <v>7.0000000000000007E-2</v>
      </c>
      <c r="N35" s="1400">
        <v>7.0000000000000007E-2</v>
      </c>
      <c r="O35" s="1400">
        <v>7.0000000000000007E-2</v>
      </c>
      <c r="P35" s="1400">
        <v>7.0000000000000007E-2</v>
      </c>
      <c r="Q35" s="1400">
        <v>7.0000000000000007E-2</v>
      </c>
      <c r="R35" s="1400">
        <v>7.0000000000000007E-2</v>
      </c>
      <c r="S35" s="1400">
        <v>7.0000000000000007E-2</v>
      </c>
      <c r="T35" s="1400">
        <v>7.0000000000000007E-2</v>
      </c>
      <c r="U35" s="1400">
        <v>7.0000000000000007E-2</v>
      </c>
      <c r="V35" s="1400">
        <v>7.0000000000000007E-2</v>
      </c>
      <c r="W35" s="1400">
        <v>7.0000000000000007E-2</v>
      </c>
      <c r="X35" s="1400">
        <v>7.0000000000000007E-2</v>
      </c>
      <c r="Y35" s="1400">
        <v>7.0000000000000007E-2</v>
      </c>
      <c r="Z35" s="1400">
        <v>7.0000000000000007E-2</v>
      </c>
      <c r="AA35" s="1400">
        <v>7.0000000000000007E-2</v>
      </c>
      <c r="AB35" s="1400">
        <v>7.0000000000000007E-2</v>
      </c>
    </row>
    <row r="36" spans="1:28" x14ac:dyDescent="0.25">
      <c r="A36" s="707" t="s">
        <v>270</v>
      </c>
      <c r="B36" s="707" t="s">
        <v>271</v>
      </c>
      <c r="C36" s="1403" t="s">
        <v>325</v>
      </c>
      <c r="D36" s="1403">
        <f t="shared" ref="D36:AB36" si="14">+(D31-D32)/D33</f>
        <v>0.37500000000000006</v>
      </c>
      <c r="E36" s="1403">
        <f t="shared" si="14"/>
        <v>0.37500000000000006</v>
      </c>
      <c r="F36" s="1403">
        <f t="shared" si="14"/>
        <v>0.37500000000000006</v>
      </c>
      <c r="G36" s="1403">
        <f t="shared" si="14"/>
        <v>0.37500000000000006</v>
      </c>
      <c r="H36" s="1403">
        <f t="shared" si="14"/>
        <v>0.37500000000000006</v>
      </c>
      <c r="I36" s="1403">
        <f t="shared" si="14"/>
        <v>0.37500000000000006</v>
      </c>
      <c r="J36" s="1403">
        <f t="shared" si="14"/>
        <v>0.37500000000000006</v>
      </c>
      <c r="K36" s="1403">
        <f t="shared" si="14"/>
        <v>0.37500000000000006</v>
      </c>
      <c r="L36" s="1403">
        <f t="shared" si="14"/>
        <v>0.37500000000000006</v>
      </c>
      <c r="M36" s="1403">
        <f t="shared" si="14"/>
        <v>0.37500000000000006</v>
      </c>
      <c r="N36" s="1403">
        <f t="shared" si="14"/>
        <v>0.37500000000000006</v>
      </c>
      <c r="O36" s="1403">
        <f t="shared" si="14"/>
        <v>0.37500000000000006</v>
      </c>
      <c r="P36" s="1403">
        <f t="shared" si="14"/>
        <v>0.37500000000000006</v>
      </c>
      <c r="Q36" s="1403">
        <f t="shared" si="14"/>
        <v>0.37500000000000006</v>
      </c>
      <c r="R36" s="1403">
        <f t="shared" ref="R36:AA41" si="15">+Q36</f>
        <v>0.37500000000000006</v>
      </c>
      <c r="S36" s="1403">
        <f t="shared" si="14"/>
        <v>0.37500000000000006</v>
      </c>
      <c r="T36" s="1403">
        <f t="shared" si="14"/>
        <v>0.37500000000000006</v>
      </c>
      <c r="U36" s="1403">
        <f t="shared" si="14"/>
        <v>0.37500000000000006</v>
      </c>
      <c r="V36" s="1403">
        <f t="shared" si="14"/>
        <v>0.37500000000000006</v>
      </c>
      <c r="W36" s="1403">
        <f t="shared" si="14"/>
        <v>0.37500000000000006</v>
      </c>
      <c r="X36" s="1403">
        <f t="shared" si="14"/>
        <v>0.37500000000000006</v>
      </c>
      <c r="Y36" s="1403">
        <f t="shared" si="14"/>
        <v>0.37500000000000006</v>
      </c>
      <c r="Z36" s="1403">
        <f t="shared" si="14"/>
        <v>0.37500000000000006</v>
      </c>
      <c r="AA36" s="1403">
        <f t="shared" si="14"/>
        <v>0.37500000000000006</v>
      </c>
      <c r="AB36" s="1403">
        <f t="shared" si="14"/>
        <v>0.37500000000000006</v>
      </c>
    </row>
    <row r="37" spans="1:28" x14ac:dyDescent="0.25">
      <c r="A37" s="707" t="s">
        <v>272</v>
      </c>
      <c r="B37" s="707" t="s">
        <v>273</v>
      </c>
      <c r="C37" s="1377" t="s">
        <v>326</v>
      </c>
      <c r="D37" s="1377">
        <f>+D32+(D33*D34)</f>
        <v>0.11200000000000002</v>
      </c>
      <c r="E37" s="1377">
        <f t="shared" ref="E37:Q37" si="16">+E32+(E33*E34)</f>
        <v>0.11200000000000002</v>
      </c>
      <c r="F37" s="1377">
        <f t="shared" si="16"/>
        <v>0.11200000000000002</v>
      </c>
      <c r="G37" s="1377">
        <f t="shared" si="16"/>
        <v>0.11200000000000002</v>
      </c>
      <c r="H37" s="1377">
        <f t="shared" si="16"/>
        <v>0.11200000000000002</v>
      </c>
      <c r="I37" s="1377">
        <f t="shared" si="16"/>
        <v>0.11200000000000002</v>
      </c>
      <c r="J37" s="1377">
        <f t="shared" si="16"/>
        <v>0.11200000000000002</v>
      </c>
      <c r="K37" s="1377">
        <f t="shared" si="16"/>
        <v>0.11200000000000002</v>
      </c>
      <c r="L37" s="1377">
        <f t="shared" si="16"/>
        <v>0.11200000000000002</v>
      </c>
      <c r="M37" s="1377">
        <f t="shared" si="16"/>
        <v>0.11200000000000002</v>
      </c>
      <c r="N37" s="1377">
        <f t="shared" si="16"/>
        <v>0.11200000000000002</v>
      </c>
      <c r="O37" s="1377">
        <f t="shared" si="16"/>
        <v>0.11200000000000002</v>
      </c>
      <c r="P37" s="1377">
        <f t="shared" si="16"/>
        <v>0.11200000000000002</v>
      </c>
      <c r="Q37" s="1377">
        <f t="shared" si="16"/>
        <v>0.11200000000000002</v>
      </c>
      <c r="R37" s="1377">
        <f t="shared" si="15"/>
        <v>0.11200000000000002</v>
      </c>
      <c r="S37" s="1377">
        <f t="shared" si="15"/>
        <v>0.11200000000000002</v>
      </c>
      <c r="T37" s="1377">
        <f t="shared" si="15"/>
        <v>0.11200000000000002</v>
      </c>
      <c r="U37" s="1377">
        <f t="shared" si="15"/>
        <v>0.11200000000000002</v>
      </c>
      <c r="V37" s="1377">
        <f t="shared" si="15"/>
        <v>0.11200000000000002</v>
      </c>
      <c r="W37" s="1377">
        <f t="shared" si="15"/>
        <v>0.11200000000000002</v>
      </c>
      <c r="X37" s="1377">
        <f t="shared" si="15"/>
        <v>0.11200000000000002</v>
      </c>
      <c r="Y37" s="1377">
        <f t="shared" si="15"/>
        <v>0.11200000000000002</v>
      </c>
      <c r="Z37" s="1377">
        <f t="shared" si="15"/>
        <v>0.11200000000000002</v>
      </c>
      <c r="AA37" s="1377">
        <f t="shared" si="15"/>
        <v>0.11200000000000002</v>
      </c>
      <c r="AB37" s="1377">
        <f>+AB32+(AB33*AB34)</f>
        <v>0.11200000000000002</v>
      </c>
    </row>
    <row r="38" spans="1:28" x14ac:dyDescent="0.25">
      <c r="A38" s="707" t="s">
        <v>274</v>
      </c>
      <c r="B38" s="707" t="s">
        <v>275</v>
      </c>
      <c r="C38" s="1404" t="s">
        <v>327</v>
      </c>
      <c r="D38" s="1404">
        <f t="shared" ref="D38:Q38" si="17">+((D34*(D14*(1-D30)+D76)/D76)-(D36*D14*(1-D30)/D76))</f>
        <v>1.0663027133732847</v>
      </c>
      <c r="E38" s="1404">
        <f t="shared" si="17"/>
        <v>1.0794261511210708</v>
      </c>
      <c r="F38" s="1404">
        <f t="shared" si="17"/>
        <v>1.0925616636850493</v>
      </c>
      <c r="G38" s="1404">
        <f t="shared" si="17"/>
        <v>1.1057002316274316</v>
      </c>
      <c r="H38" s="1404">
        <f t="shared" si="17"/>
        <v>1.1188326485530922</v>
      </c>
      <c r="I38" s="1404">
        <f t="shared" si="17"/>
        <v>1.1319495386587168</v>
      </c>
      <c r="J38" s="1404">
        <f t="shared" si="17"/>
        <v>1.1450413754109918</v>
      </c>
      <c r="K38" s="1404">
        <f t="shared" si="17"/>
        <v>1.1580985012961715</v>
      </c>
      <c r="L38" s="1404">
        <f t="shared" si="17"/>
        <v>1.1711111485739158</v>
      </c>
      <c r="M38" s="1404">
        <f t="shared" si="17"/>
        <v>1.1840694609589799</v>
      </c>
      <c r="N38" s="1404">
        <f t="shared" si="17"/>
        <v>1.1969635161454097</v>
      </c>
      <c r="O38" s="1404">
        <f t="shared" si="17"/>
        <v>1.2097833490793344</v>
      </c>
      <c r="P38" s="1404">
        <f t="shared" si="17"/>
        <v>1.222518975878474</v>
      </c>
      <c r="Q38" s="1404">
        <f t="shared" si="17"/>
        <v>1.2351604182891127</v>
      </c>
      <c r="R38" s="1404">
        <f t="shared" si="15"/>
        <v>1.2351604182891127</v>
      </c>
      <c r="S38" s="1404">
        <f t="shared" si="15"/>
        <v>1.2351604182891127</v>
      </c>
      <c r="T38" s="1404">
        <f t="shared" si="15"/>
        <v>1.2351604182891127</v>
      </c>
      <c r="U38" s="1404">
        <f t="shared" si="15"/>
        <v>1.2351604182891127</v>
      </c>
      <c r="V38" s="1404">
        <f t="shared" si="15"/>
        <v>1.2351604182891127</v>
      </c>
      <c r="W38" s="1404">
        <f t="shared" si="15"/>
        <v>1.2351604182891127</v>
      </c>
      <c r="X38" s="1404">
        <f t="shared" si="15"/>
        <v>1.2351604182891127</v>
      </c>
      <c r="Y38" s="1404">
        <f t="shared" si="15"/>
        <v>1.2351604182891127</v>
      </c>
      <c r="Z38" s="1404">
        <f t="shared" si="15"/>
        <v>1.2351604182891127</v>
      </c>
      <c r="AA38" s="1404">
        <f t="shared" si="15"/>
        <v>1.2351604182891127</v>
      </c>
    </row>
    <row r="39" spans="1:28" x14ac:dyDescent="0.25">
      <c r="A39" s="707" t="s">
        <v>276</v>
      </c>
      <c r="B39" s="707" t="s">
        <v>277</v>
      </c>
      <c r="C39" s="1377" t="s">
        <v>328</v>
      </c>
      <c r="D39" s="1377">
        <f>+D32+(D38*D33)</f>
        <v>0.12530421706986278</v>
      </c>
      <c r="E39" s="1377">
        <f t="shared" ref="E39:Q39" si="18">+E32+(E38*E33)</f>
        <v>0.12635409208968568</v>
      </c>
      <c r="F39" s="1377">
        <f t="shared" si="18"/>
        <v>0.12740493309480394</v>
      </c>
      <c r="G39" s="1377">
        <f t="shared" si="18"/>
        <v>0.12845601853019453</v>
      </c>
      <c r="H39" s="1377">
        <f t="shared" si="18"/>
        <v>0.12950661188424736</v>
      </c>
      <c r="I39" s="1377">
        <f t="shared" si="18"/>
        <v>0.13055596309269735</v>
      </c>
      <c r="J39" s="1377">
        <f t="shared" si="18"/>
        <v>0.13160331003287934</v>
      </c>
      <c r="K39" s="1377">
        <f t="shared" si="18"/>
        <v>0.13264788010369372</v>
      </c>
      <c r="L39" s="1377">
        <f t="shared" si="18"/>
        <v>0.13368889188591326</v>
      </c>
      <c r="M39" s="1377">
        <f t="shared" si="18"/>
        <v>0.13472555687671839</v>
      </c>
      <c r="N39" s="1377">
        <f t="shared" si="18"/>
        <v>0.13575708129163278</v>
      </c>
      <c r="O39" s="1377">
        <f t="shared" si="18"/>
        <v>0.13678266792634675</v>
      </c>
      <c r="P39" s="1377">
        <f t="shared" si="18"/>
        <v>0.13780151807027793</v>
      </c>
      <c r="Q39" s="1377">
        <f t="shared" si="18"/>
        <v>0.13881283346312903</v>
      </c>
      <c r="R39" s="1377">
        <f t="shared" si="15"/>
        <v>0.13881283346312903</v>
      </c>
      <c r="S39" s="1377">
        <f t="shared" si="15"/>
        <v>0.13881283346312903</v>
      </c>
      <c r="T39" s="1377">
        <f t="shared" si="15"/>
        <v>0.13881283346312903</v>
      </c>
      <c r="U39" s="1377">
        <f t="shared" si="15"/>
        <v>0.13881283346312903</v>
      </c>
      <c r="V39" s="1377">
        <f t="shared" si="15"/>
        <v>0.13881283346312903</v>
      </c>
      <c r="W39" s="1377">
        <f t="shared" si="15"/>
        <v>0.13881283346312903</v>
      </c>
      <c r="X39" s="1377">
        <f t="shared" si="15"/>
        <v>0.13881283346312903</v>
      </c>
      <c r="Y39" s="1377">
        <f t="shared" si="15"/>
        <v>0.13881283346312903</v>
      </c>
      <c r="Z39" s="1377">
        <f t="shared" si="15"/>
        <v>0.13881283346312903</v>
      </c>
      <c r="AA39" s="1377">
        <f t="shared" si="15"/>
        <v>0.13881283346312903</v>
      </c>
    </row>
    <row r="40" spans="1:28" x14ac:dyDescent="0.25">
      <c r="A40" s="707" t="s">
        <v>278</v>
      </c>
      <c r="B40" s="707"/>
      <c r="C40" s="1405" t="s">
        <v>329</v>
      </c>
      <c r="D40" s="1405"/>
      <c r="E40" s="1405">
        <f>+(D76/(D76+D14)*E39)+(D14/(D76+D14)*E31*(1-E30))</f>
        <v>9.9861760263732099E-2</v>
      </c>
      <c r="F40" s="1405">
        <f t="shared" ref="F40:Q40" si="19">+(E76/(E76+E14)*F39)+(E14/(E76+E14)*F31*(1-F30))</f>
        <v>9.9180312336991816E-2</v>
      </c>
      <c r="G40" s="1405">
        <f t="shared" si="19"/>
        <v>9.8531327805776725E-2</v>
      </c>
      <c r="H40" s="1405">
        <f t="shared" si="19"/>
        <v>9.7912915559430283E-2</v>
      </c>
      <c r="I40" s="1405">
        <f t="shared" si="19"/>
        <v>9.7323329075390153E-2</v>
      </c>
      <c r="J40" s="1405">
        <f t="shared" si="19"/>
        <v>9.6760952891685015E-2</v>
      </c>
      <c r="K40" s="1405">
        <f t="shared" si="19"/>
        <v>9.622429057060275E-2</v>
      </c>
      <c r="L40" s="1405">
        <f t="shared" si="19"/>
        <v>9.5711953964987981E-2</v>
      </c>
      <c r="M40" s="1405">
        <f t="shared" si="19"/>
        <v>9.5222653625379169E-2</v>
      </c>
      <c r="N40" s="1405">
        <f t="shared" si="19"/>
        <v>9.4755190208753393E-2</v>
      </c>
      <c r="O40" s="1405">
        <f t="shared" si="19"/>
        <v>9.4308446768727794E-2</v>
      </c>
      <c r="P40" s="1405">
        <f t="shared" si="19"/>
        <v>9.3881381823259002E-2</v>
      </c>
      <c r="Q40" s="1405">
        <f t="shared" si="19"/>
        <v>9.3473023109659104E-2</v>
      </c>
      <c r="R40" s="1405">
        <f t="shared" si="15"/>
        <v>9.3473023109659104E-2</v>
      </c>
      <c r="S40" s="1405">
        <f t="shared" si="15"/>
        <v>9.3473023109659104E-2</v>
      </c>
      <c r="T40" s="1405">
        <f t="shared" si="15"/>
        <v>9.3473023109659104E-2</v>
      </c>
      <c r="U40" s="1405">
        <f t="shared" si="15"/>
        <v>9.3473023109659104E-2</v>
      </c>
      <c r="V40" s="1405">
        <f t="shared" si="15"/>
        <v>9.3473023109659104E-2</v>
      </c>
      <c r="W40" s="1405">
        <f t="shared" si="15"/>
        <v>9.3473023109659104E-2</v>
      </c>
      <c r="X40" s="1405">
        <f t="shared" si="15"/>
        <v>9.3473023109659104E-2</v>
      </c>
      <c r="Y40" s="1405">
        <f t="shared" si="15"/>
        <v>9.3473023109659104E-2</v>
      </c>
      <c r="Z40" s="1405">
        <f t="shared" si="15"/>
        <v>9.3473023109659104E-2</v>
      </c>
      <c r="AA40" s="1405">
        <f t="shared" si="15"/>
        <v>9.3473023109659104E-2</v>
      </c>
    </row>
    <row r="41" spans="1:28" x14ac:dyDescent="0.25">
      <c r="A41" s="707" t="s">
        <v>279</v>
      </c>
      <c r="B41" s="707"/>
      <c r="C41" s="1405" t="s">
        <v>330</v>
      </c>
      <c r="D41" s="1405"/>
      <c r="E41" s="1405">
        <f>+(D76/(D76+D14)*E39)+(D14/(D76+D14)*E31)</f>
        <v>0.10788933330253273</v>
      </c>
      <c r="F41" s="1405">
        <f t="shared" ref="F41:Q41" si="20">+(E76/(E76+E14)*F39)+(E14/(E76+E14)*F31)</f>
        <v>0.10762306642319552</v>
      </c>
      <c r="G41" s="1405">
        <f t="shared" si="20"/>
        <v>0.10736920281157128</v>
      </c>
      <c r="H41" s="1405">
        <f t="shared" si="20"/>
        <v>0.10712701838534326</v>
      </c>
      <c r="I41" s="1405">
        <f t="shared" si="20"/>
        <v>0.10689584467358142</v>
      </c>
      <c r="J41" s="1405">
        <f t="shared" si="20"/>
        <v>0.10667506362254184</v>
      </c>
      <c r="K41" s="1405">
        <f t="shared" si="20"/>
        <v>0.1064641029733706</v>
      </c>
      <c r="L41" s="1405">
        <f t="shared" si="20"/>
        <v>0.10626243213934058</v>
      </c>
      <c r="M41" s="1405">
        <f t="shared" si="20"/>
        <v>0.10606955852052076</v>
      </c>
      <c r="N41" s="1405">
        <f t="shared" si="20"/>
        <v>0.10588502420243995</v>
      </c>
      <c r="O41" s="1405">
        <f t="shared" si="20"/>
        <v>0.1057084029926334</v>
      </c>
      <c r="P41" s="1405">
        <f t="shared" si="20"/>
        <v>0.10553929775517974</v>
      </c>
      <c r="Q41" s="1405">
        <f t="shared" si="20"/>
        <v>0.10537733800862675</v>
      </c>
      <c r="R41" s="1405">
        <f t="shared" si="15"/>
        <v>0.10537733800862675</v>
      </c>
      <c r="S41" s="1405">
        <f t="shared" si="15"/>
        <v>0.10537733800862675</v>
      </c>
      <c r="T41" s="1405">
        <f t="shared" si="15"/>
        <v>0.10537733800862675</v>
      </c>
      <c r="U41" s="1405">
        <f t="shared" si="15"/>
        <v>0.10537733800862675</v>
      </c>
      <c r="V41" s="1405">
        <f t="shared" si="15"/>
        <v>0.10537733800862675</v>
      </c>
      <c r="W41" s="1405">
        <f t="shared" si="15"/>
        <v>0.10537733800862675</v>
      </c>
      <c r="X41" s="1405">
        <f t="shared" si="15"/>
        <v>0.10537733800862675</v>
      </c>
      <c r="Y41" s="1405">
        <f t="shared" si="15"/>
        <v>0.10537733800862675</v>
      </c>
      <c r="Z41" s="1405">
        <f t="shared" si="15"/>
        <v>0.10537733800862675</v>
      </c>
      <c r="AA41" s="1405">
        <f t="shared" si="15"/>
        <v>0.10537733800862675</v>
      </c>
    </row>
    <row r="42" spans="1:28" x14ac:dyDescent="0.25">
      <c r="A42" s="707"/>
      <c r="B42" s="707"/>
      <c r="C42" s="707"/>
      <c r="D42" s="1405"/>
      <c r="E42" s="1405"/>
      <c r="F42" s="1405"/>
      <c r="G42" s="1405"/>
      <c r="H42" s="1405"/>
      <c r="I42" s="1405"/>
      <c r="J42" s="1405"/>
      <c r="K42" s="1405"/>
      <c r="L42" s="1405"/>
      <c r="M42" s="1405"/>
      <c r="N42" s="1405"/>
      <c r="O42" s="1405"/>
      <c r="P42" s="1405"/>
      <c r="Q42" s="1405"/>
      <c r="R42" s="1405"/>
      <c r="S42" s="1405"/>
      <c r="T42" s="1405"/>
      <c r="U42" s="1405"/>
      <c r="V42" s="1405"/>
      <c r="W42" s="1405"/>
      <c r="X42" s="1405"/>
      <c r="Y42" s="1405"/>
      <c r="Z42" s="1405"/>
      <c r="AA42" s="1405"/>
    </row>
    <row r="43" spans="1:28" ht="16.5" thickBot="1" x14ac:dyDescent="0.3">
      <c r="A43" s="707"/>
      <c r="B43" s="707"/>
      <c r="C43" s="707"/>
      <c r="D43" s="707"/>
      <c r="E43" s="1406"/>
      <c r="F43" s="1378"/>
      <c r="G43" s="1378"/>
      <c r="H43" s="1378"/>
      <c r="I43" s="1378"/>
      <c r="J43" s="1378"/>
      <c r="K43" s="1378"/>
      <c r="L43" s="1378"/>
      <c r="M43" s="1378"/>
      <c r="N43" s="1378"/>
      <c r="O43" s="1378"/>
      <c r="P43" s="1378"/>
    </row>
    <row r="44" spans="1:28" x14ac:dyDescent="0.25">
      <c r="A44" s="325" t="s">
        <v>280</v>
      </c>
      <c r="B44" s="1125"/>
      <c r="C44" s="1125"/>
      <c r="D44" s="1046">
        <v>0</v>
      </c>
      <c r="E44" s="1046">
        <v>1</v>
      </c>
      <c r="F44" s="1046">
        <f t="shared" ref="F44:AB44" si="21">E44+1</f>
        <v>2</v>
      </c>
      <c r="G44" s="1046">
        <f t="shared" si="21"/>
        <v>3</v>
      </c>
      <c r="H44" s="1046">
        <f t="shared" si="21"/>
        <v>4</v>
      </c>
      <c r="I44" s="1046">
        <f t="shared" si="21"/>
        <v>5</v>
      </c>
      <c r="J44" s="1046">
        <f t="shared" si="21"/>
        <v>6</v>
      </c>
      <c r="K44" s="1046">
        <f t="shared" si="21"/>
        <v>7</v>
      </c>
      <c r="L44" s="1046">
        <f t="shared" si="21"/>
        <v>8</v>
      </c>
      <c r="M44" s="1046">
        <f t="shared" si="21"/>
        <v>9</v>
      </c>
      <c r="N44" s="1046">
        <f t="shared" si="21"/>
        <v>10</v>
      </c>
      <c r="O44" s="1046">
        <f t="shared" si="21"/>
        <v>11</v>
      </c>
      <c r="P44" s="1046">
        <f t="shared" si="21"/>
        <v>12</v>
      </c>
      <c r="Q44" s="1046">
        <f t="shared" si="21"/>
        <v>13</v>
      </c>
      <c r="R44" s="1046">
        <f t="shared" si="21"/>
        <v>14</v>
      </c>
      <c r="S44" s="1046">
        <f t="shared" si="21"/>
        <v>15</v>
      </c>
      <c r="T44" s="1046">
        <f t="shared" si="21"/>
        <v>16</v>
      </c>
      <c r="U44" s="1046">
        <f t="shared" si="21"/>
        <v>17</v>
      </c>
      <c r="V44" s="1046">
        <f t="shared" si="21"/>
        <v>18</v>
      </c>
      <c r="W44" s="1046">
        <f t="shared" si="21"/>
        <v>19</v>
      </c>
      <c r="X44" s="1046">
        <f t="shared" si="21"/>
        <v>20</v>
      </c>
      <c r="Y44" s="1046">
        <f t="shared" si="21"/>
        <v>21</v>
      </c>
      <c r="Z44" s="1046">
        <f t="shared" si="21"/>
        <v>22</v>
      </c>
      <c r="AA44" s="1046">
        <f t="shared" si="21"/>
        <v>23</v>
      </c>
      <c r="AB44" s="1046">
        <f t="shared" si="21"/>
        <v>24</v>
      </c>
    </row>
    <row r="45" spans="1:28" x14ac:dyDescent="0.25">
      <c r="A45" s="309"/>
      <c r="B45" s="298"/>
      <c r="C45" s="298"/>
      <c r="D45" s="1082"/>
      <c r="E45" s="1082"/>
      <c r="F45" s="1082"/>
      <c r="G45" s="1082"/>
      <c r="H45" s="1082"/>
      <c r="I45" s="1082"/>
      <c r="J45" s="1082"/>
      <c r="K45" s="1082"/>
      <c r="L45" s="1082"/>
      <c r="M45" s="1082"/>
      <c r="N45" s="1082"/>
      <c r="O45" s="1082"/>
      <c r="P45" s="1082"/>
      <c r="Q45" s="1082"/>
      <c r="R45" s="1082"/>
      <c r="S45" s="1082"/>
      <c r="T45" s="1082"/>
      <c r="U45" s="1082"/>
      <c r="V45" s="1082"/>
      <c r="W45" s="1082"/>
      <c r="X45" s="1082"/>
      <c r="Y45" s="1082"/>
      <c r="Z45" s="1082"/>
      <c r="AA45" s="1082"/>
      <c r="AB45" s="1082"/>
    </row>
    <row r="46" spans="1:28" x14ac:dyDescent="0.25">
      <c r="A46" s="766" t="s">
        <v>281</v>
      </c>
      <c r="B46" s="768"/>
      <c r="C46" s="768"/>
      <c r="D46" s="768"/>
      <c r="E46" s="1128">
        <f>+E22</f>
        <v>2788.9034250000004</v>
      </c>
      <c r="F46" s="1128">
        <f t="shared" ref="F46:AB46" si="22">+F22</f>
        <v>2823.3416225000001</v>
      </c>
      <c r="G46" s="1128">
        <f t="shared" si="22"/>
        <v>2858.1242019750007</v>
      </c>
      <c r="H46" s="1128">
        <f t="shared" si="22"/>
        <v>2893.2546072447503</v>
      </c>
      <c r="I46" s="1128">
        <f t="shared" si="22"/>
        <v>2928.7363165671977</v>
      </c>
      <c r="J46" s="1128">
        <f t="shared" si="22"/>
        <v>2964.5728429828696</v>
      </c>
      <c r="K46" s="1128">
        <f t="shared" si="22"/>
        <v>3000.7677346626988</v>
      </c>
      <c r="L46" s="1128">
        <f t="shared" si="22"/>
        <v>3037.3245752593257</v>
      </c>
      <c r="M46" s="1128">
        <f t="shared" si="22"/>
        <v>3074.2469842619184</v>
      </c>
      <c r="N46" s="1128">
        <f t="shared" si="22"/>
        <v>3111.5386173545376</v>
      </c>
      <c r="O46" s="1128">
        <f t="shared" si="22"/>
        <v>3149.203166778083</v>
      </c>
      <c r="P46" s="1128">
        <f t="shared" si="22"/>
        <v>3187.2443616958644</v>
      </c>
      <c r="Q46" s="1128">
        <f t="shared" si="22"/>
        <v>3225.6659685628229</v>
      </c>
      <c r="R46" s="1128">
        <f t="shared" si="22"/>
        <v>3264.4717914984512</v>
      </c>
      <c r="S46" s="1128">
        <f t="shared" si="22"/>
        <v>3303.6656726634365</v>
      </c>
      <c r="T46" s="1128">
        <f t="shared" si="22"/>
        <v>3343.2514926400709</v>
      </c>
      <c r="U46" s="1128">
        <f t="shared" si="22"/>
        <v>3383.2331708164711</v>
      </c>
      <c r="V46" s="1128">
        <f t="shared" si="22"/>
        <v>3423.6146657746358</v>
      </c>
      <c r="W46" s="1128">
        <f t="shared" si="22"/>
        <v>3464.3999756823823</v>
      </c>
      <c r="X46" s="1128">
        <f t="shared" si="22"/>
        <v>3505.5931386892062</v>
      </c>
      <c r="Y46" s="1128">
        <f t="shared" si="22"/>
        <v>3547.1982333260985</v>
      </c>
      <c r="Z46" s="1128">
        <f t="shared" si="22"/>
        <v>3589.2193789093599</v>
      </c>
      <c r="AA46" s="1128">
        <f t="shared" si="22"/>
        <v>3631.6607359484533</v>
      </c>
      <c r="AB46" s="1128">
        <f t="shared" si="22"/>
        <v>3674.5265065579379</v>
      </c>
    </row>
    <row r="47" spans="1:28" x14ac:dyDescent="0.25">
      <c r="A47" s="766" t="s">
        <v>282</v>
      </c>
      <c r="B47" s="768"/>
      <c r="C47" s="768"/>
      <c r="D47" s="768"/>
      <c r="E47" s="1128">
        <f>+E21</f>
        <v>654.91632499999992</v>
      </c>
      <c r="F47" s="1128">
        <f t="shared" ref="F47:AB47" si="23">+F21</f>
        <v>654.91632499999992</v>
      </c>
      <c r="G47" s="1128">
        <f t="shared" si="23"/>
        <v>654.91632499999992</v>
      </c>
      <c r="H47" s="1128">
        <f t="shared" si="23"/>
        <v>654.91632499999992</v>
      </c>
      <c r="I47" s="1128">
        <f t="shared" si="23"/>
        <v>654.91632499999992</v>
      </c>
      <c r="J47" s="1128">
        <f t="shared" si="23"/>
        <v>654.91632499999992</v>
      </c>
      <c r="K47" s="1128">
        <f t="shared" si="23"/>
        <v>654.91632499999992</v>
      </c>
      <c r="L47" s="1128">
        <f t="shared" si="23"/>
        <v>654.91632499999992</v>
      </c>
      <c r="M47" s="1128">
        <f t="shared" si="23"/>
        <v>654.91632499999992</v>
      </c>
      <c r="N47" s="1128">
        <f t="shared" si="23"/>
        <v>654.91632499999992</v>
      </c>
      <c r="O47" s="1128">
        <f t="shared" si="23"/>
        <v>654.91632499999992</v>
      </c>
      <c r="P47" s="1128">
        <f t="shared" si="23"/>
        <v>654.91632499999992</v>
      </c>
      <c r="Q47" s="1128">
        <f t="shared" si="23"/>
        <v>654.91632499999992</v>
      </c>
      <c r="R47" s="1128">
        <f t="shared" si="23"/>
        <v>654.91632499999992</v>
      </c>
      <c r="S47" s="1128">
        <f t="shared" si="23"/>
        <v>654.91632499999992</v>
      </c>
      <c r="T47" s="1128">
        <f t="shared" si="23"/>
        <v>654.91632499999992</v>
      </c>
      <c r="U47" s="1128">
        <f t="shared" si="23"/>
        <v>654.91632499999992</v>
      </c>
      <c r="V47" s="1128">
        <f t="shared" si="23"/>
        <v>654.91632499999992</v>
      </c>
      <c r="W47" s="1128">
        <f t="shared" si="23"/>
        <v>654.91632499999992</v>
      </c>
      <c r="X47" s="1128">
        <f t="shared" si="23"/>
        <v>654.91632499999992</v>
      </c>
      <c r="Y47" s="1128">
        <f t="shared" si="23"/>
        <v>654.91632499999992</v>
      </c>
      <c r="Z47" s="1128">
        <f t="shared" si="23"/>
        <v>654.91632499999992</v>
      </c>
      <c r="AA47" s="1128">
        <f t="shared" si="23"/>
        <v>654.91632499999992</v>
      </c>
      <c r="AB47" s="1128">
        <f t="shared" si="23"/>
        <v>654.91632499999992</v>
      </c>
    </row>
    <row r="48" spans="1:28" x14ac:dyDescent="0.25">
      <c r="A48" s="766" t="s">
        <v>283</v>
      </c>
      <c r="B48" s="768"/>
      <c r="C48" s="768"/>
      <c r="D48" s="768"/>
      <c r="E48" s="1128">
        <f>+D8-E8</f>
        <v>-1092.807499999999</v>
      </c>
      <c r="F48" s="1128">
        <f t="shared" ref="F48:AB48" si="24">+E8-F8</f>
        <v>-1092.807499999999</v>
      </c>
      <c r="G48" s="1128">
        <f t="shared" si="24"/>
        <v>-1092.807499999999</v>
      </c>
      <c r="H48" s="1128">
        <f t="shared" si="24"/>
        <v>-1092.807499999999</v>
      </c>
      <c r="I48" s="1128">
        <f t="shared" si="24"/>
        <v>-1092.807499999999</v>
      </c>
      <c r="J48" s="1128">
        <f t="shared" si="24"/>
        <v>-1092.807499999999</v>
      </c>
      <c r="K48" s="1128">
        <f t="shared" si="24"/>
        <v>-1092.807499999999</v>
      </c>
      <c r="L48" s="1128">
        <f t="shared" si="24"/>
        <v>-1092.807499999999</v>
      </c>
      <c r="M48" s="1128">
        <f t="shared" si="24"/>
        <v>-1092.807499999999</v>
      </c>
      <c r="N48" s="1128">
        <f t="shared" si="24"/>
        <v>-1092.807499999999</v>
      </c>
      <c r="O48" s="1128">
        <f t="shared" si="24"/>
        <v>-1092.807499999999</v>
      </c>
      <c r="P48" s="1128">
        <f t="shared" si="24"/>
        <v>-1092.807499999999</v>
      </c>
      <c r="Q48" s="1128">
        <f t="shared" si="24"/>
        <v>-1092.807499999999</v>
      </c>
      <c r="R48" s="1128">
        <f t="shared" si="24"/>
        <v>-1092.807499999999</v>
      </c>
      <c r="S48" s="1128">
        <f t="shared" si="24"/>
        <v>-1092.807499999999</v>
      </c>
      <c r="T48" s="1128">
        <f t="shared" si="24"/>
        <v>-1092.807499999999</v>
      </c>
      <c r="U48" s="1128">
        <f t="shared" si="24"/>
        <v>-1092.807499999999</v>
      </c>
      <c r="V48" s="1128">
        <f t="shared" si="24"/>
        <v>-1092.807499999999</v>
      </c>
      <c r="W48" s="1128">
        <f t="shared" si="24"/>
        <v>-1092.807499999999</v>
      </c>
      <c r="X48" s="1128">
        <f t="shared" si="24"/>
        <v>-1092.807499999999</v>
      </c>
      <c r="Y48" s="1128">
        <f t="shared" si="24"/>
        <v>-1092.807499999999</v>
      </c>
      <c r="Z48" s="1128">
        <f t="shared" si="24"/>
        <v>-1092.807499999999</v>
      </c>
      <c r="AA48" s="1128">
        <f t="shared" si="24"/>
        <v>-1092.8075000000026</v>
      </c>
      <c r="AB48" s="1128">
        <f t="shared" si="24"/>
        <v>-1092.8075000000026</v>
      </c>
    </row>
    <row r="49" spans="1:28" x14ac:dyDescent="0.25">
      <c r="A49" s="766" t="s">
        <v>284</v>
      </c>
      <c r="B49" s="768"/>
      <c r="C49" s="768"/>
      <c r="D49" s="768"/>
      <c r="E49" s="1128">
        <f>+D7-E7</f>
        <v>-171.8304375000007</v>
      </c>
      <c r="F49" s="1128">
        <f t="shared" ref="F49:AB49" si="25">+E7-F7</f>
        <v>-171.8304375000007</v>
      </c>
      <c r="G49" s="1128">
        <f t="shared" si="25"/>
        <v>-171.8304375000007</v>
      </c>
      <c r="H49" s="1128">
        <f t="shared" si="25"/>
        <v>-171.8304375000007</v>
      </c>
      <c r="I49" s="1128">
        <f t="shared" si="25"/>
        <v>-171.8304375000007</v>
      </c>
      <c r="J49" s="1128">
        <f t="shared" si="25"/>
        <v>-171.8304375000007</v>
      </c>
      <c r="K49" s="1128">
        <f t="shared" si="25"/>
        <v>-171.8304375000007</v>
      </c>
      <c r="L49" s="1128">
        <f t="shared" si="25"/>
        <v>-171.8304375000007</v>
      </c>
      <c r="M49" s="1128">
        <f t="shared" si="25"/>
        <v>-171.8304375000007</v>
      </c>
      <c r="N49" s="1128">
        <f t="shared" si="25"/>
        <v>-171.8304375000007</v>
      </c>
      <c r="O49" s="1128">
        <f t="shared" si="25"/>
        <v>-171.8304375000007</v>
      </c>
      <c r="P49" s="1128">
        <f t="shared" si="25"/>
        <v>-171.8304375000007</v>
      </c>
      <c r="Q49" s="1128">
        <f t="shared" si="25"/>
        <v>-171.8304375000007</v>
      </c>
      <c r="R49" s="1128">
        <f t="shared" si="25"/>
        <v>-171.8304375000007</v>
      </c>
      <c r="S49" s="1128">
        <f t="shared" si="25"/>
        <v>-171.8304375000007</v>
      </c>
      <c r="T49" s="1128">
        <f t="shared" si="25"/>
        <v>-171.8304375000007</v>
      </c>
      <c r="U49" s="1128">
        <f t="shared" si="25"/>
        <v>-171.8304375000007</v>
      </c>
      <c r="V49" s="1128">
        <f t="shared" si="25"/>
        <v>-171.8304375000007</v>
      </c>
      <c r="W49" s="1128">
        <f t="shared" si="25"/>
        <v>-171.8304375000007</v>
      </c>
      <c r="X49" s="1128">
        <f t="shared" si="25"/>
        <v>-171.8304375000007</v>
      </c>
      <c r="Y49" s="1128">
        <f t="shared" si="25"/>
        <v>-171.8304375000007</v>
      </c>
      <c r="Z49" s="1128">
        <f t="shared" si="25"/>
        <v>-171.8304375000007</v>
      </c>
      <c r="AA49" s="1128">
        <f t="shared" si="25"/>
        <v>-171.8304375000007</v>
      </c>
      <c r="AB49" s="1128">
        <f t="shared" si="25"/>
        <v>-171.8304375000007</v>
      </c>
    </row>
    <row r="50" spans="1:28" x14ac:dyDescent="0.25">
      <c r="A50" s="1407" t="s">
        <v>285</v>
      </c>
      <c r="B50" s="1408"/>
      <c r="C50" s="1408"/>
      <c r="D50" s="1408"/>
      <c r="E50" s="1409">
        <f t="shared" ref="E50:Q50" si="26">SUM(E46:E49)</f>
        <v>2179.1818125000009</v>
      </c>
      <c r="F50" s="1409">
        <f t="shared" si="26"/>
        <v>2213.6200100000005</v>
      </c>
      <c r="G50" s="1409">
        <f t="shared" si="26"/>
        <v>2248.4025894750012</v>
      </c>
      <c r="H50" s="1409">
        <f t="shared" si="26"/>
        <v>2283.5329947447508</v>
      </c>
      <c r="I50" s="1409">
        <f t="shared" si="26"/>
        <v>2319.0147040671982</v>
      </c>
      <c r="J50" s="1409">
        <f t="shared" si="26"/>
        <v>2354.8512304828701</v>
      </c>
      <c r="K50" s="1409">
        <f t="shared" si="26"/>
        <v>2391.0461221626992</v>
      </c>
      <c r="L50" s="1409">
        <f t="shared" si="26"/>
        <v>2427.6029627593261</v>
      </c>
      <c r="M50" s="1409">
        <f t="shared" si="26"/>
        <v>2464.5253717619189</v>
      </c>
      <c r="N50" s="1409">
        <f t="shared" si="26"/>
        <v>2501.817004854538</v>
      </c>
      <c r="O50" s="1409">
        <f t="shared" si="26"/>
        <v>2539.4815542780834</v>
      </c>
      <c r="P50" s="1409">
        <f t="shared" si="26"/>
        <v>2577.5227491958649</v>
      </c>
      <c r="Q50" s="1409">
        <f t="shared" si="26"/>
        <v>2615.9443560628233</v>
      </c>
      <c r="R50" s="1409">
        <f t="shared" ref="R50:AB50" si="27">SUM(R46:R49)</f>
        <v>2654.7501789984517</v>
      </c>
      <c r="S50" s="1409">
        <f t="shared" si="27"/>
        <v>2693.9440601634369</v>
      </c>
      <c r="T50" s="1409">
        <f t="shared" si="27"/>
        <v>2733.5298801400713</v>
      </c>
      <c r="U50" s="1409">
        <f t="shared" si="27"/>
        <v>2773.5115583164716</v>
      </c>
      <c r="V50" s="1409">
        <f t="shared" si="27"/>
        <v>2813.8930532746363</v>
      </c>
      <c r="W50" s="1409">
        <f t="shared" si="27"/>
        <v>2854.6783631823828</v>
      </c>
      <c r="X50" s="1409">
        <f t="shared" si="27"/>
        <v>2895.8715261892066</v>
      </c>
      <c r="Y50" s="1409">
        <f t="shared" si="27"/>
        <v>2937.476620826099</v>
      </c>
      <c r="Z50" s="1409">
        <f t="shared" si="27"/>
        <v>2979.4977664093603</v>
      </c>
      <c r="AA50" s="1409">
        <f t="shared" si="27"/>
        <v>3021.9391234484501</v>
      </c>
      <c r="AB50" s="1409">
        <f t="shared" si="27"/>
        <v>3064.8048940579347</v>
      </c>
    </row>
    <row r="51" spans="1:28" ht="16.5" thickBot="1" x14ac:dyDescent="0.3">
      <c r="A51" s="766" t="s">
        <v>286</v>
      </c>
      <c r="B51" s="768"/>
      <c r="C51" s="1128" t="s">
        <v>331</v>
      </c>
      <c r="D51" s="768"/>
      <c r="E51" s="1128">
        <f>-E46*E30</f>
        <v>-976.11619875000008</v>
      </c>
      <c r="F51" s="1128">
        <f t="shared" ref="F51:AB51" si="28">-F46*F30</f>
        <v>-988.16956787499998</v>
      </c>
      <c r="G51" s="1128">
        <f t="shared" si="28"/>
        <v>-1000.3434706912502</v>
      </c>
      <c r="H51" s="1128">
        <f t="shared" si="28"/>
        <v>-1012.6391125356625</v>
      </c>
      <c r="I51" s="1128">
        <f t="shared" si="28"/>
        <v>-1025.0577107985191</v>
      </c>
      <c r="J51" s="1128">
        <f t="shared" si="28"/>
        <v>-1037.6004950440042</v>
      </c>
      <c r="K51" s="1128">
        <f t="shared" si="28"/>
        <v>-1050.2687071319444</v>
      </c>
      <c r="L51" s="1128">
        <f t="shared" si="28"/>
        <v>-1063.0636013407639</v>
      </c>
      <c r="M51" s="1128">
        <f t="shared" si="28"/>
        <v>-1075.9864444916714</v>
      </c>
      <c r="N51" s="1128">
        <f t="shared" si="28"/>
        <v>-1089.038516074088</v>
      </c>
      <c r="O51" s="1128">
        <f t="shared" si="28"/>
        <v>-1102.2211083723289</v>
      </c>
      <c r="P51" s="1128">
        <f t="shared" si="28"/>
        <v>-1115.5355265935525</v>
      </c>
      <c r="Q51" s="1128">
        <f t="shared" si="28"/>
        <v>-1128.9830889969878</v>
      </c>
      <c r="R51" s="1128">
        <f t="shared" si="28"/>
        <v>-1142.5651270244578</v>
      </c>
      <c r="S51" s="1128">
        <f t="shared" si="28"/>
        <v>-1156.2829854322026</v>
      </c>
      <c r="T51" s="1128">
        <f t="shared" si="28"/>
        <v>-1170.1380224240247</v>
      </c>
      <c r="U51" s="1128">
        <f t="shared" si="28"/>
        <v>-1184.1316097857648</v>
      </c>
      <c r="V51" s="1128">
        <f t="shared" si="28"/>
        <v>-1198.2651330211224</v>
      </c>
      <c r="W51" s="1128">
        <f t="shared" si="28"/>
        <v>-1212.5399914888337</v>
      </c>
      <c r="X51" s="1128">
        <f t="shared" si="28"/>
        <v>-1226.9575985412221</v>
      </c>
      <c r="Y51" s="1128">
        <f t="shared" si="28"/>
        <v>-1241.5193816641345</v>
      </c>
      <c r="Z51" s="1128">
        <f t="shared" si="28"/>
        <v>-1256.2267826182758</v>
      </c>
      <c r="AA51" s="1128">
        <f t="shared" si="28"/>
        <v>-1271.0812575819587</v>
      </c>
      <c r="AB51" s="1128">
        <f t="shared" si="28"/>
        <v>-1286.0842772952781</v>
      </c>
    </row>
    <row r="52" spans="1:28" ht="16.5" thickBot="1" x14ac:dyDescent="0.3">
      <c r="A52" s="1410" t="s">
        <v>287</v>
      </c>
      <c r="B52" s="1411"/>
      <c r="C52" s="1411"/>
      <c r="D52" s="1411"/>
      <c r="E52" s="1412">
        <f t="shared" ref="E52:AB52" si="29">+E50+E51</f>
        <v>1203.0656137500009</v>
      </c>
      <c r="F52" s="1412">
        <f t="shared" si="29"/>
        <v>1225.4504421250006</v>
      </c>
      <c r="G52" s="1412">
        <f t="shared" si="29"/>
        <v>1248.0591187837508</v>
      </c>
      <c r="H52" s="1412">
        <f t="shared" si="29"/>
        <v>1270.8938822090881</v>
      </c>
      <c r="I52" s="1412">
        <f t="shared" si="29"/>
        <v>1293.9569932686791</v>
      </c>
      <c r="J52" s="1412">
        <f t="shared" si="29"/>
        <v>1317.2507354388658</v>
      </c>
      <c r="K52" s="1412">
        <f t="shared" si="29"/>
        <v>1340.7774150307548</v>
      </c>
      <c r="L52" s="1412">
        <f t="shared" si="29"/>
        <v>1364.5393614185623</v>
      </c>
      <c r="M52" s="1412">
        <f t="shared" si="29"/>
        <v>1388.5389272702475</v>
      </c>
      <c r="N52" s="1412">
        <f t="shared" si="29"/>
        <v>1412.7784887804501</v>
      </c>
      <c r="O52" s="1412">
        <f t="shared" si="29"/>
        <v>1437.2604459057545</v>
      </c>
      <c r="P52" s="1412">
        <f t="shared" si="29"/>
        <v>1461.9872226023124</v>
      </c>
      <c r="Q52" s="1412">
        <f t="shared" si="29"/>
        <v>1486.9612670658355</v>
      </c>
      <c r="R52" s="1412">
        <f t="shared" si="29"/>
        <v>1512.185051973994</v>
      </c>
      <c r="S52" s="1412">
        <f t="shared" si="29"/>
        <v>1537.6610747312343</v>
      </c>
      <c r="T52" s="1412">
        <f t="shared" si="29"/>
        <v>1563.3918577160466</v>
      </c>
      <c r="U52" s="1412">
        <f t="shared" si="29"/>
        <v>1589.3799485307068</v>
      </c>
      <c r="V52" s="1412">
        <f t="shared" si="29"/>
        <v>1615.6279202535138</v>
      </c>
      <c r="W52" s="1412">
        <f t="shared" si="29"/>
        <v>1642.1383716935491</v>
      </c>
      <c r="X52" s="1412">
        <f t="shared" si="29"/>
        <v>1668.9139276479846</v>
      </c>
      <c r="Y52" s="1412">
        <f t="shared" si="29"/>
        <v>1695.9572391619645</v>
      </c>
      <c r="Z52" s="1412">
        <f t="shared" si="29"/>
        <v>1723.2709837910845</v>
      </c>
      <c r="AA52" s="1412">
        <f t="shared" si="29"/>
        <v>1750.8578658664915</v>
      </c>
      <c r="AB52" s="1412">
        <f t="shared" si="29"/>
        <v>1778.7206167626566</v>
      </c>
    </row>
    <row r="53" spans="1:28" ht="16.5" thickBot="1" x14ac:dyDescent="0.3">
      <c r="A53" s="1413" t="s">
        <v>1268</v>
      </c>
      <c r="B53" s="1413"/>
      <c r="C53" s="1414" t="s">
        <v>332</v>
      </c>
      <c r="D53" s="1415"/>
      <c r="E53" s="1414">
        <f t="shared" ref="E53:AB53" si="30">+D14*E37*E30</f>
        <v>192.37219680000007</v>
      </c>
      <c r="F53" s="1414">
        <f t="shared" si="30"/>
        <v>207.12591060000008</v>
      </c>
      <c r="G53" s="1414">
        <f t="shared" si="30"/>
        <v>221.87962440000007</v>
      </c>
      <c r="H53" s="1414">
        <f t="shared" si="30"/>
        <v>236.63333820000008</v>
      </c>
      <c r="I53" s="1414">
        <f t="shared" si="30"/>
        <v>251.38705200000007</v>
      </c>
      <c r="J53" s="1414">
        <f t="shared" si="30"/>
        <v>266.14076580000005</v>
      </c>
      <c r="K53" s="1414">
        <f t="shared" si="30"/>
        <v>280.89447960000007</v>
      </c>
      <c r="L53" s="1414">
        <f t="shared" si="30"/>
        <v>295.64819340000003</v>
      </c>
      <c r="M53" s="1414">
        <f t="shared" si="30"/>
        <v>310.4019072000001</v>
      </c>
      <c r="N53" s="1414">
        <f t="shared" si="30"/>
        <v>325.15562100000005</v>
      </c>
      <c r="O53" s="1414">
        <f t="shared" si="30"/>
        <v>339.90933480000007</v>
      </c>
      <c r="P53" s="1414">
        <f t="shared" si="30"/>
        <v>354.66304860000008</v>
      </c>
      <c r="Q53" s="1414">
        <f t="shared" si="30"/>
        <v>369.4167624000001</v>
      </c>
      <c r="R53" s="1414">
        <f t="shared" si="30"/>
        <v>384.17047620000005</v>
      </c>
      <c r="S53" s="1414">
        <f t="shared" si="30"/>
        <v>398.92419000000007</v>
      </c>
      <c r="T53" s="1414">
        <f t="shared" si="30"/>
        <v>413.67790380000008</v>
      </c>
      <c r="U53" s="1414">
        <f t="shared" si="30"/>
        <v>428.43161760000004</v>
      </c>
      <c r="V53" s="1414">
        <f t="shared" si="30"/>
        <v>443.18533140000005</v>
      </c>
      <c r="W53" s="1414">
        <f t="shared" si="30"/>
        <v>457.93904520000001</v>
      </c>
      <c r="X53" s="1414">
        <f t="shared" si="30"/>
        <v>472.69275900000002</v>
      </c>
      <c r="Y53" s="1414">
        <f t="shared" si="30"/>
        <v>487.44647280000009</v>
      </c>
      <c r="Z53" s="1414">
        <f t="shared" si="30"/>
        <v>502.20018660000005</v>
      </c>
      <c r="AA53" s="1414">
        <f t="shared" si="30"/>
        <v>516.95390040000007</v>
      </c>
      <c r="AB53" s="1414">
        <f t="shared" si="30"/>
        <v>531.70761420000008</v>
      </c>
    </row>
    <row r="54" spans="1:28" ht="16.5" thickBot="1" x14ac:dyDescent="0.3">
      <c r="A54" s="1416" t="s">
        <v>289</v>
      </c>
      <c r="B54" s="1417"/>
      <c r="C54" s="1417"/>
      <c r="D54" s="1418"/>
      <c r="E54" s="1412">
        <f>+E52+E53</f>
        <v>1395.4378105500009</v>
      </c>
      <c r="F54" s="1412">
        <f t="shared" ref="F54:AA54" si="31">+F52+F53</f>
        <v>1432.5763527250006</v>
      </c>
      <c r="G54" s="1412">
        <f t="shared" si="31"/>
        <v>1469.9387431837508</v>
      </c>
      <c r="H54" s="1412">
        <f t="shared" si="31"/>
        <v>1507.5272204090882</v>
      </c>
      <c r="I54" s="1412">
        <f t="shared" si="31"/>
        <v>1545.3440452686791</v>
      </c>
      <c r="J54" s="1412">
        <f t="shared" si="31"/>
        <v>1583.3915012388659</v>
      </c>
      <c r="K54" s="1412">
        <f t="shared" si="31"/>
        <v>1621.6718946307549</v>
      </c>
      <c r="L54" s="1412">
        <f t="shared" si="31"/>
        <v>1660.1875548185624</v>
      </c>
      <c r="M54" s="1412">
        <f t="shared" si="31"/>
        <v>1698.9408344702476</v>
      </c>
      <c r="N54" s="1412">
        <f t="shared" si="31"/>
        <v>1737.9341097804502</v>
      </c>
      <c r="O54" s="1412">
        <f t="shared" si="31"/>
        <v>1777.1697807057546</v>
      </c>
      <c r="P54" s="1412">
        <f t="shared" si="31"/>
        <v>1816.6502712023125</v>
      </c>
      <c r="Q54" s="1412">
        <f t="shared" si="31"/>
        <v>1856.3780294658357</v>
      </c>
      <c r="R54" s="1412">
        <f t="shared" si="31"/>
        <v>1896.3555281739941</v>
      </c>
      <c r="S54" s="1412">
        <f t="shared" si="31"/>
        <v>1936.5852647312345</v>
      </c>
      <c r="T54" s="1412">
        <f t="shared" si="31"/>
        <v>1977.0697615160466</v>
      </c>
      <c r="U54" s="1412">
        <f t="shared" si="31"/>
        <v>2017.8115661307068</v>
      </c>
      <c r="V54" s="1412">
        <f t="shared" si="31"/>
        <v>2058.8132516535138</v>
      </c>
      <c r="W54" s="1412">
        <f t="shared" si="31"/>
        <v>2100.0774168935491</v>
      </c>
      <c r="X54" s="1412">
        <f t="shared" si="31"/>
        <v>2141.6066866479846</v>
      </c>
      <c r="Y54" s="1412">
        <f t="shared" si="31"/>
        <v>2183.4037119619647</v>
      </c>
      <c r="Z54" s="1412">
        <f t="shared" si="31"/>
        <v>2225.4711703910843</v>
      </c>
      <c r="AA54" s="1412">
        <f t="shared" si="31"/>
        <v>2267.8117662664918</v>
      </c>
      <c r="AB54" s="1412">
        <f>+AB52+AB53</f>
        <v>2310.4282309626569</v>
      </c>
    </row>
    <row r="56" spans="1:28" x14ac:dyDescent="0.25">
      <c r="A56" s="766" t="s">
        <v>290</v>
      </c>
      <c r="B56" s="768"/>
      <c r="C56" s="768"/>
      <c r="D56" s="768"/>
      <c r="E56" s="1128">
        <f t="shared" ref="E56:AB56" si="32">+E26</f>
        <v>1580.9356460625004</v>
      </c>
      <c r="F56" s="1128">
        <f t="shared" si="32"/>
        <v>1586.1956280625</v>
      </c>
      <c r="G56" s="1128">
        <f t="shared" si="32"/>
        <v>1591.6794583462506</v>
      </c>
      <c r="H56" s="1128">
        <f t="shared" si="32"/>
        <v>1597.3893753965876</v>
      </c>
      <c r="I56" s="1128">
        <f t="shared" si="32"/>
        <v>1603.3276400811785</v>
      </c>
      <c r="J56" s="1128">
        <f t="shared" si="32"/>
        <v>1609.496535876365</v>
      </c>
      <c r="K56" s="1128">
        <f t="shared" si="32"/>
        <v>1615.8983690932541</v>
      </c>
      <c r="L56" s="1128">
        <f t="shared" si="32"/>
        <v>1622.5354691060618</v>
      </c>
      <c r="M56" s="1128">
        <f t="shared" si="32"/>
        <v>1629.4101885827467</v>
      </c>
      <c r="N56" s="1128">
        <f t="shared" si="32"/>
        <v>1636.5249037179494</v>
      </c>
      <c r="O56" s="1128">
        <f t="shared" si="32"/>
        <v>1639.0314784676286</v>
      </c>
      <c r="P56" s="1128">
        <f t="shared" si="32"/>
        <v>1641.8265781398059</v>
      </c>
      <c r="Q56" s="1128">
        <f t="shared" si="32"/>
        <v>1644.9130879837039</v>
      </c>
      <c r="R56" s="1128">
        <f t="shared" si="32"/>
        <v>1648.2939221010406</v>
      </c>
      <c r="S56" s="1128">
        <f t="shared" si="32"/>
        <v>1651.9720237345518</v>
      </c>
      <c r="T56" s="1128">
        <f t="shared" si="32"/>
        <v>1655.9503655593971</v>
      </c>
      <c r="U56" s="1128">
        <f t="shared" si="32"/>
        <v>1660.2319499774908</v>
      </c>
      <c r="V56" s="1128">
        <f t="shared" si="32"/>
        <v>1664.819809414766</v>
      </c>
      <c r="W56" s="1128">
        <f t="shared" si="32"/>
        <v>1669.7170066214135</v>
      </c>
      <c r="X56" s="1128">
        <f t="shared" si="32"/>
        <v>1674.9266349751279</v>
      </c>
      <c r="Y56" s="1128">
        <f t="shared" si="32"/>
        <v>1680.4518187873791</v>
      </c>
      <c r="Z56" s="1128">
        <f t="shared" si="32"/>
        <v>1686.2957136127534</v>
      </c>
      <c r="AA56" s="1128">
        <f t="shared" si="32"/>
        <v>1692.4615065613812</v>
      </c>
      <c r="AB56" s="1128">
        <f t="shared" si="32"/>
        <v>1698.9524166144947</v>
      </c>
    </row>
    <row r="57" spans="1:28" x14ac:dyDescent="0.25">
      <c r="A57" s="766" t="s">
        <v>282</v>
      </c>
      <c r="B57" s="768"/>
      <c r="C57" s="768"/>
      <c r="D57" s="768"/>
      <c r="E57" s="1128">
        <f t="shared" ref="E57:AB57" si="33">+E21</f>
        <v>654.91632499999992</v>
      </c>
      <c r="F57" s="1128">
        <f t="shared" si="33"/>
        <v>654.91632499999992</v>
      </c>
      <c r="G57" s="1128">
        <f t="shared" si="33"/>
        <v>654.91632499999992</v>
      </c>
      <c r="H57" s="1128">
        <f t="shared" si="33"/>
        <v>654.91632499999992</v>
      </c>
      <c r="I57" s="1128">
        <f t="shared" si="33"/>
        <v>654.91632499999992</v>
      </c>
      <c r="J57" s="1128">
        <f t="shared" si="33"/>
        <v>654.91632499999992</v>
      </c>
      <c r="K57" s="1128">
        <f t="shared" si="33"/>
        <v>654.91632499999992</v>
      </c>
      <c r="L57" s="1128">
        <f t="shared" si="33"/>
        <v>654.91632499999992</v>
      </c>
      <c r="M57" s="1128">
        <f t="shared" si="33"/>
        <v>654.91632499999992</v>
      </c>
      <c r="N57" s="1128">
        <f t="shared" si="33"/>
        <v>654.91632499999992</v>
      </c>
      <c r="O57" s="1128">
        <f t="shared" si="33"/>
        <v>654.91632499999992</v>
      </c>
      <c r="P57" s="1128">
        <f t="shared" si="33"/>
        <v>654.91632499999992</v>
      </c>
      <c r="Q57" s="1128">
        <f t="shared" si="33"/>
        <v>654.91632499999992</v>
      </c>
      <c r="R57" s="1128">
        <f t="shared" si="33"/>
        <v>654.91632499999992</v>
      </c>
      <c r="S57" s="1128">
        <f t="shared" si="33"/>
        <v>654.91632499999992</v>
      </c>
      <c r="T57" s="1128">
        <f t="shared" si="33"/>
        <v>654.91632499999992</v>
      </c>
      <c r="U57" s="1128">
        <f t="shared" si="33"/>
        <v>654.91632499999992</v>
      </c>
      <c r="V57" s="1128">
        <f t="shared" si="33"/>
        <v>654.91632499999992</v>
      </c>
      <c r="W57" s="1128">
        <f t="shared" si="33"/>
        <v>654.91632499999992</v>
      </c>
      <c r="X57" s="1128">
        <f t="shared" si="33"/>
        <v>654.91632499999992</v>
      </c>
      <c r="Y57" s="1128">
        <f t="shared" si="33"/>
        <v>654.91632499999992</v>
      </c>
      <c r="Z57" s="1128">
        <f t="shared" si="33"/>
        <v>654.91632499999992</v>
      </c>
      <c r="AA57" s="1128">
        <f t="shared" si="33"/>
        <v>654.91632499999992</v>
      </c>
      <c r="AB57" s="1128">
        <f t="shared" si="33"/>
        <v>654.91632499999992</v>
      </c>
    </row>
    <row r="58" spans="1:28" x14ac:dyDescent="0.25">
      <c r="A58" s="766" t="s">
        <v>283</v>
      </c>
      <c r="B58" s="768"/>
      <c r="C58" s="768"/>
      <c r="D58" s="768"/>
      <c r="E58" s="1128">
        <f t="shared" ref="E58:AB58" si="34">-E8+D8</f>
        <v>-1092.807499999999</v>
      </c>
      <c r="F58" s="1128">
        <f t="shared" si="34"/>
        <v>-1092.807499999999</v>
      </c>
      <c r="G58" s="1128">
        <f t="shared" si="34"/>
        <v>-1092.807499999999</v>
      </c>
      <c r="H58" s="1128">
        <f t="shared" si="34"/>
        <v>-1092.807499999999</v>
      </c>
      <c r="I58" s="1128">
        <f t="shared" si="34"/>
        <v>-1092.807499999999</v>
      </c>
      <c r="J58" s="1128">
        <f t="shared" si="34"/>
        <v>-1092.807499999999</v>
      </c>
      <c r="K58" s="1128">
        <f t="shared" si="34"/>
        <v>-1092.807499999999</v>
      </c>
      <c r="L58" s="1128">
        <f t="shared" si="34"/>
        <v>-1092.807499999999</v>
      </c>
      <c r="M58" s="1128">
        <f t="shared" si="34"/>
        <v>-1092.807499999999</v>
      </c>
      <c r="N58" s="1128">
        <f t="shared" si="34"/>
        <v>-1092.807499999999</v>
      </c>
      <c r="O58" s="1128">
        <f t="shared" si="34"/>
        <v>-1092.807499999999</v>
      </c>
      <c r="P58" s="1128">
        <f t="shared" si="34"/>
        <v>-1092.807499999999</v>
      </c>
      <c r="Q58" s="1128">
        <f t="shared" si="34"/>
        <v>-1092.807499999999</v>
      </c>
      <c r="R58" s="1128">
        <f t="shared" si="34"/>
        <v>-1092.807499999999</v>
      </c>
      <c r="S58" s="1128">
        <f t="shared" si="34"/>
        <v>-1092.807499999999</v>
      </c>
      <c r="T58" s="1128">
        <f t="shared" si="34"/>
        <v>-1092.807499999999</v>
      </c>
      <c r="U58" s="1128">
        <f t="shared" si="34"/>
        <v>-1092.807499999999</v>
      </c>
      <c r="V58" s="1128">
        <f t="shared" si="34"/>
        <v>-1092.807499999999</v>
      </c>
      <c r="W58" s="1128">
        <f t="shared" si="34"/>
        <v>-1092.807499999999</v>
      </c>
      <c r="X58" s="1128">
        <f t="shared" si="34"/>
        <v>-1092.807499999999</v>
      </c>
      <c r="Y58" s="1128">
        <f t="shared" si="34"/>
        <v>-1092.807499999999</v>
      </c>
      <c r="Z58" s="1128">
        <f t="shared" si="34"/>
        <v>-1092.807499999999</v>
      </c>
      <c r="AA58" s="1128">
        <f t="shared" si="34"/>
        <v>-1092.8075000000026</v>
      </c>
      <c r="AB58" s="1128">
        <f t="shared" si="34"/>
        <v>-1092.8075000000026</v>
      </c>
    </row>
    <row r="59" spans="1:28" x14ac:dyDescent="0.25">
      <c r="A59" s="766" t="s">
        <v>284</v>
      </c>
      <c r="B59" s="768"/>
      <c r="C59" s="768"/>
      <c r="D59" s="768"/>
      <c r="E59" s="1128">
        <f>+E49</f>
        <v>-171.8304375000007</v>
      </c>
      <c r="F59" s="1128">
        <f t="shared" ref="F59:AB59" si="35">+F49</f>
        <v>-171.8304375000007</v>
      </c>
      <c r="G59" s="1128">
        <f t="shared" si="35"/>
        <v>-171.8304375000007</v>
      </c>
      <c r="H59" s="1128">
        <f t="shared" si="35"/>
        <v>-171.8304375000007</v>
      </c>
      <c r="I59" s="1128">
        <f t="shared" si="35"/>
        <v>-171.8304375000007</v>
      </c>
      <c r="J59" s="1128">
        <f t="shared" si="35"/>
        <v>-171.8304375000007</v>
      </c>
      <c r="K59" s="1128">
        <f t="shared" si="35"/>
        <v>-171.8304375000007</v>
      </c>
      <c r="L59" s="1128">
        <f t="shared" si="35"/>
        <v>-171.8304375000007</v>
      </c>
      <c r="M59" s="1128">
        <f t="shared" si="35"/>
        <v>-171.8304375000007</v>
      </c>
      <c r="N59" s="1128">
        <f t="shared" si="35"/>
        <v>-171.8304375000007</v>
      </c>
      <c r="O59" s="1128">
        <f t="shared" si="35"/>
        <v>-171.8304375000007</v>
      </c>
      <c r="P59" s="1128">
        <f t="shared" si="35"/>
        <v>-171.8304375000007</v>
      </c>
      <c r="Q59" s="1128">
        <f t="shared" si="35"/>
        <v>-171.8304375000007</v>
      </c>
      <c r="R59" s="1128">
        <f t="shared" si="35"/>
        <v>-171.8304375000007</v>
      </c>
      <c r="S59" s="1128">
        <f t="shared" si="35"/>
        <v>-171.8304375000007</v>
      </c>
      <c r="T59" s="1128">
        <f t="shared" si="35"/>
        <v>-171.8304375000007</v>
      </c>
      <c r="U59" s="1128">
        <f t="shared" si="35"/>
        <v>-171.8304375000007</v>
      </c>
      <c r="V59" s="1128">
        <f t="shared" si="35"/>
        <v>-171.8304375000007</v>
      </c>
      <c r="W59" s="1128">
        <f t="shared" si="35"/>
        <v>-171.8304375000007</v>
      </c>
      <c r="X59" s="1128">
        <f t="shared" si="35"/>
        <v>-171.8304375000007</v>
      </c>
      <c r="Y59" s="1128">
        <f t="shared" si="35"/>
        <v>-171.8304375000007</v>
      </c>
      <c r="Z59" s="1128">
        <f t="shared" si="35"/>
        <v>-171.8304375000007</v>
      </c>
      <c r="AA59" s="1128">
        <f t="shared" si="35"/>
        <v>-171.8304375000007</v>
      </c>
      <c r="AB59" s="1128">
        <f t="shared" si="35"/>
        <v>-171.8304375000007</v>
      </c>
    </row>
    <row r="60" spans="1:28" ht="16.5" thickBot="1" x14ac:dyDescent="0.3">
      <c r="A60" s="766" t="s">
        <v>291</v>
      </c>
      <c r="B60" s="768"/>
      <c r="C60" s="768"/>
      <c r="D60" s="768"/>
      <c r="E60" s="1128">
        <f t="shared" ref="E60:AB60" si="36">+E14-D14</f>
        <v>376.37024999999994</v>
      </c>
      <c r="F60" s="1128">
        <f t="shared" si="36"/>
        <v>376.37024999999994</v>
      </c>
      <c r="G60" s="1128">
        <f t="shared" si="36"/>
        <v>376.37024999999994</v>
      </c>
      <c r="H60" s="1128">
        <f t="shared" si="36"/>
        <v>376.37024999999994</v>
      </c>
      <c r="I60" s="1128">
        <f t="shared" si="36"/>
        <v>376.37024999999994</v>
      </c>
      <c r="J60" s="1128">
        <f t="shared" si="36"/>
        <v>376.37024999999994</v>
      </c>
      <c r="K60" s="1128">
        <f t="shared" si="36"/>
        <v>376.37024999999994</v>
      </c>
      <c r="L60" s="1128">
        <f t="shared" si="36"/>
        <v>376.37024999999994</v>
      </c>
      <c r="M60" s="1128">
        <f t="shared" si="36"/>
        <v>376.37024999999994</v>
      </c>
      <c r="N60" s="1128">
        <f t="shared" si="36"/>
        <v>376.37024999999994</v>
      </c>
      <c r="O60" s="1128">
        <f t="shared" si="36"/>
        <v>376.37024999999994</v>
      </c>
      <c r="P60" s="1128">
        <f t="shared" si="36"/>
        <v>376.37024999999994</v>
      </c>
      <c r="Q60" s="1128">
        <f t="shared" si="36"/>
        <v>376.37024999999994</v>
      </c>
      <c r="R60" s="1128">
        <f t="shared" si="36"/>
        <v>376.37024999999994</v>
      </c>
      <c r="S60" s="1128">
        <f t="shared" si="36"/>
        <v>376.37024999999994</v>
      </c>
      <c r="T60" s="1128">
        <f t="shared" si="36"/>
        <v>376.37024999999994</v>
      </c>
      <c r="U60" s="1128">
        <f t="shared" si="36"/>
        <v>376.37024999999994</v>
      </c>
      <c r="V60" s="1128">
        <f t="shared" si="36"/>
        <v>376.37024999999994</v>
      </c>
      <c r="W60" s="1128">
        <f t="shared" si="36"/>
        <v>376.37024999999994</v>
      </c>
      <c r="X60" s="1128">
        <f t="shared" si="36"/>
        <v>376.37024999999994</v>
      </c>
      <c r="Y60" s="1128">
        <f t="shared" si="36"/>
        <v>376.37024999999994</v>
      </c>
      <c r="Z60" s="1128">
        <f t="shared" si="36"/>
        <v>376.37024999999994</v>
      </c>
      <c r="AA60" s="1128">
        <f t="shared" si="36"/>
        <v>376.37024999999994</v>
      </c>
      <c r="AB60" s="1128">
        <f t="shared" si="36"/>
        <v>376.37024999999994</v>
      </c>
    </row>
    <row r="61" spans="1:28" ht="16.5" thickBot="1" x14ac:dyDescent="0.3">
      <c r="A61" s="1410" t="s">
        <v>292</v>
      </c>
      <c r="B61" s="1411"/>
      <c r="C61" s="1411"/>
      <c r="D61" s="1411"/>
      <c r="E61" s="1412">
        <f t="shared" ref="E61:AB61" si="37">SUM(E56:E60)</f>
        <v>1347.5842835625008</v>
      </c>
      <c r="F61" s="1412">
        <f t="shared" si="37"/>
        <v>1352.8442655625004</v>
      </c>
      <c r="G61" s="1412">
        <f t="shared" si="37"/>
        <v>1358.328095846251</v>
      </c>
      <c r="H61" s="1412">
        <f t="shared" si="37"/>
        <v>1364.038012896588</v>
      </c>
      <c r="I61" s="1412">
        <f t="shared" si="37"/>
        <v>1369.9762775811787</v>
      </c>
      <c r="J61" s="1412">
        <f t="shared" si="37"/>
        <v>1376.1451733763652</v>
      </c>
      <c r="K61" s="1412">
        <f t="shared" si="37"/>
        <v>1382.5470065932541</v>
      </c>
      <c r="L61" s="1412">
        <f t="shared" si="37"/>
        <v>1389.184106606062</v>
      </c>
      <c r="M61" s="1412">
        <f t="shared" si="37"/>
        <v>1396.0588260827471</v>
      </c>
      <c r="N61" s="1412">
        <f t="shared" si="37"/>
        <v>1403.1735412179496</v>
      </c>
      <c r="O61" s="1412">
        <f t="shared" si="37"/>
        <v>1405.6801159676288</v>
      </c>
      <c r="P61" s="1412">
        <f t="shared" si="37"/>
        <v>1408.4752156398063</v>
      </c>
      <c r="Q61" s="1412">
        <f t="shared" si="37"/>
        <v>1411.5617254837043</v>
      </c>
      <c r="R61" s="1412">
        <f t="shared" si="37"/>
        <v>1414.9425596010406</v>
      </c>
      <c r="S61" s="1412">
        <f t="shared" si="37"/>
        <v>1418.6206612345522</v>
      </c>
      <c r="T61" s="1412">
        <f t="shared" si="37"/>
        <v>1422.5990030593975</v>
      </c>
      <c r="U61" s="1412">
        <f t="shared" si="37"/>
        <v>1426.8805874774907</v>
      </c>
      <c r="V61" s="1412">
        <f t="shared" si="37"/>
        <v>1431.468446914766</v>
      </c>
      <c r="W61" s="1412">
        <f t="shared" si="37"/>
        <v>1436.3656441214134</v>
      </c>
      <c r="X61" s="1412">
        <f t="shared" si="37"/>
        <v>1441.5752724751283</v>
      </c>
      <c r="Y61" s="1412">
        <f t="shared" si="37"/>
        <v>1447.1004562873795</v>
      </c>
      <c r="Z61" s="1412">
        <f t="shared" si="37"/>
        <v>1452.9443511127538</v>
      </c>
      <c r="AA61" s="1412">
        <f t="shared" si="37"/>
        <v>1459.1101440613775</v>
      </c>
      <c r="AB61" s="1419">
        <f t="shared" si="37"/>
        <v>1465.6010541144915</v>
      </c>
    </row>
    <row r="62" spans="1:28" x14ac:dyDescent="0.25">
      <c r="A62" s="766" t="s">
        <v>291</v>
      </c>
      <c r="B62" s="768"/>
      <c r="C62" s="768"/>
      <c r="D62" s="768"/>
      <c r="E62" s="1128">
        <f t="shared" ref="E62:AB62" si="38">-E60</f>
        <v>-376.37024999999994</v>
      </c>
      <c r="F62" s="1128">
        <f t="shared" si="38"/>
        <v>-376.37024999999994</v>
      </c>
      <c r="G62" s="1128">
        <f t="shared" si="38"/>
        <v>-376.37024999999994</v>
      </c>
      <c r="H62" s="1128">
        <f t="shared" si="38"/>
        <v>-376.37024999999994</v>
      </c>
      <c r="I62" s="1128">
        <f t="shared" si="38"/>
        <v>-376.37024999999994</v>
      </c>
      <c r="J62" s="1128">
        <f t="shared" si="38"/>
        <v>-376.37024999999994</v>
      </c>
      <c r="K62" s="1128">
        <f t="shared" si="38"/>
        <v>-376.37024999999994</v>
      </c>
      <c r="L62" s="1128">
        <f t="shared" si="38"/>
        <v>-376.37024999999994</v>
      </c>
      <c r="M62" s="1128">
        <f t="shared" si="38"/>
        <v>-376.37024999999994</v>
      </c>
      <c r="N62" s="1128">
        <f t="shared" si="38"/>
        <v>-376.37024999999994</v>
      </c>
      <c r="O62" s="1128">
        <f t="shared" si="38"/>
        <v>-376.37024999999994</v>
      </c>
      <c r="P62" s="1128">
        <f t="shared" si="38"/>
        <v>-376.37024999999994</v>
      </c>
      <c r="Q62" s="1128">
        <f t="shared" si="38"/>
        <v>-376.37024999999994</v>
      </c>
      <c r="R62" s="1128">
        <f t="shared" si="38"/>
        <v>-376.37024999999994</v>
      </c>
      <c r="S62" s="1128">
        <f t="shared" si="38"/>
        <v>-376.37024999999994</v>
      </c>
      <c r="T62" s="1128">
        <f t="shared" si="38"/>
        <v>-376.37024999999994</v>
      </c>
      <c r="U62" s="1128">
        <f t="shared" si="38"/>
        <v>-376.37024999999994</v>
      </c>
      <c r="V62" s="1128">
        <f t="shared" si="38"/>
        <v>-376.37024999999994</v>
      </c>
      <c r="W62" s="1128">
        <f t="shared" si="38"/>
        <v>-376.37024999999994</v>
      </c>
      <c r="X62" s="1128">
        <f t="shared" si="38"/>
        <v>-376.37024999999994</v>
      </c>
      <c r="Y62" s="1128">
        <f t="shared" si="38"/>
        <v>-376.37024999999994</v>
      </c>
      <c r="Z62" s="1128">
        <f t="shared" si="38"/>
        <v>-376.37024999999994</v>
      </c>
      <c r="AA62" s="1128">
        <f t="shared" si="38"/>
        <v>-376.37024999999994</v>
      </c>
      <c r="AB62" s="1128">
        <f t="shared" si="38"/>
        <v>-376.37024999999994</v>
      </c>
    </row>
    <row r="63" spans="1:28" ht="16.5" thickBot="1" x14ac:dyDescent="0.3">
      <c r="A63" s="766" t="s">
        <v>252</v>
      </c>
      <c r="B63" s="768"/>
      <c r="C63" s="768"/>
      <c r="D63" s="768"/>
      <c r="E63" s="1128">
        <f t="shared" ref="E63:AB63" si="39">+E23</f>
        <v>356.69473875000011</v>
      </c>
      <c r="F63" s="1128">
        <f t="shared" si="39"/>
        <v>383.04065625000015</v>
      </c>
      <c r="G63" s="1128">
        <f t="shared" si="39"/>
        <v>409.38657375000014</v>
      </c>
      <c r="H63" s="1128">
        <f t="shared" si="39"/>
        <v>435.73249125000012</v>
      </c>
      <c r="I63" s="1128">
        <f t="shared" si="39"/>
        <v>462.07840875000011</v>
      </c>
      <c r="J63" s="1128">
        <f t="shared" si="39"/>
        <v>488.42432625000015</v>
      </c>
      <c r="K63" s="1128">
        <f t="shared" si="39"/>
        <v>514.77024375000008</v>
      </c>
      <c r="L63" s="1128">
        <f t="shared" si="39"/>
        <v>541.11616125000012</v>
      </c>
      <c r="M63" s="1128">
        <f t="shared" si="39"/>
        <v>567.46207875000016</v>
      </c>
      <c r="N63" s="1128">
        <f t="shared" si="39"/>
        <v>593.80799625000009</v>
      </c>
      <c r="O63" s="1128">
        <f t="shared" si="39"/>
        <v>620.15391375000013</v>
      </c>
      <c r="P63" s="1128">
        <f t="shared" si="39"/>
        <v>646.49983125000017</v>
      </c>
      <c r="Q63" s="1128">
        <f t="shared" si="39"/>
        <v>672.8457487500001</v>
      </c>
      <c r="R63" s="1128">
        <f t="shared" si="39"/>
        <v>699.19166625000014</v>
      </c>
      <c r="S63" s="1128">
        <f t="shared" si="39"/>
        <v>725.53758375000007</v>
      </c>
      <c r="T63" s="1128">
        <f t="shared" si="39"/>
        <v>751.88350125000011</v>
      </c>
      <c r="U63" s="1128">
        <f t="shared" si="39"/>
        <v>778.22941875000015</v>
      </c>
      <c r="V63" s="1128">
        <f t="shared" si="39"/>
        <v>804.57533625000008</v>
      </c>
      <c r="W63" s="1128">
        <f t="shared" si="39"/>
        <v>830.92125375000012</v>
      </c>
      <c r="X63" s="1128">
        <f t="shared" si="39"/>
        <v>857.26717125000016</v>
      </c>
      <c r="Y63" s="1128">
        <f t="shared" si="39"/>
        <v>883.61308875000009</v>
      </c>
      <c r="Z63" s="1128">
        <f t="shared" si="39"/>
        <v>909.95900625000013</v>
      </c>
      <c r="AA63" s="1128">
        <f t="shared" si="39"/>
        <v>936.30492375000006</v>
      </c>
      <c r="AB63" s="1128">
        <f t="shared" si="39"/>
        <v>962.6508412500001</v>
      </c>
    </row>
    <row r="64" spans="1:28" ht="16.5" thickBot="1" x14ac:dyDescent="0.3">
      <c r="A64" s="1410" t="s">
        <v>293</v>
      </c>
      <c r="B64" s="1411"/>
      <c r="C64" s="1411"/>
      <c r="D64" s="1411"/>
      <c r="E64" s="1412">
        <f t="shared" ref="E64:AB64" si="40">SUM(E61:E63)</f>
        <v>1327.908772312501</v>
      </c>
      <c r="F64" s="1412">
        <f t="shared" si="40"/>
        <v>1359.5146718125006</v>
      </c>
      <c r="G64" s="1412">
        <f t="shared" si="40"/>
        <v>1391.3444195962511</v>
      </c>
      <c r="H64" s="1412">
        <f t="shared" si="40"/>
        <v>1423.4002541465882</v>
      </c>
      <c r="I64" s="1412">
        <f t="shared" si="40"/>
        <v>1455.6844363311789</v>
      </c>
      <c r="J64" s="1412">
        <f t="shared" si="40"/>
        <v>1488.1992496263654</v>
      </c>
      <c r="K64" s="1412">
        <f t="shared" si="40"/>
        <v>1520.9470003432543</v>
      </c>
      <c r="L64" s="1412">
        <f t="shared" si="40"/>
        <v>1553.930017856062</v>
      </c>
      <c r="M64" s="1412">
        <f t="shared" si="40"/>
        <v>1587.1506548327475</v>
      </c>
      <c r="N64" s="1412">
        <f t="shared" si="40"/>
        <v>1620.6112874679498</v>
      </c>
      <c r="O64" s="1412">
        <f t="shared" si="40"/>
        <v>1649.463779717629</v>
      </c>
      <c r="P64" s="1412">
        <f t="shared" si="40"/>
        <v>1678.6047968898065</v>
      </c>
      <c r="Q64" s="1412">
        <f t="shared" si="40"/>
        <v>1708.0372242337044</v>
      </c>
      <c r="R64" s="1412">
        <f t="shared" si="40"/>
        <v>1737.7639758510409</v>
      </c>
      <c r="S64" s="1412">
        <f t="shared" si="40"/>
        <v>1767.7879949845524</v>
      </c>
      <c r="T64" s="1412">
        <f t="shared" si="40"/>
        <v>1798.1122543093977</v>
      </c>
      <c r="U64" s="1412">
        <f t="shared" si="40"/>
        <v>1828.7397562274909</v>
      </c>
      <c r="V64" s="1412">
        <f t="shared" si="40"/>
        <v>1859.673533164766</v>
      </c>
      <c r="W64" s="1412">
        <f t="shared" si="40"/>
        <v>1890.9166478714137</v>
      </c>
      <c r="X64" s="1412">
        <f t="shared" si="40"/>
        <v>1922.4721937251284</v>
      </c>
      <c r="Y64" s="1412">
        <f t="shared" si="40"/>
        <v>1954.3432950373797</v>
      </c>
      <c r="Z64" s="1412">
        <f t="shared" si="40"/>
        <v>1986.533107362754</v>
      </c>
      <c r="AA64" s="1412">
        <f t="shared" si="40"/>
        <v>2019.0448178113775</v>
      </c>
      <c r="AB64" s="1419">
        <f t="shared" si="40"/>
        <v>2051.8816453644918</v>
      </c>
    </row>
    <row r="66" spans="1:29" ht="16.5" thickBot="1" x14ac:dyDescent="0.3">
      <c r="A66" s="671"/>
      <c r="B66" s="671"/>
      <c r="C66" s="671"/>
      <c r="D66" s="671"/>
      <c r="E66" s="1420"/>
      <c r="F66" s="671"/>
      <c r="G66" s="671"/>
      <c r="H66" s="671"/>
      <c r="I66" s="671"/>
      <c r="J66" s="671"/>
      <c r="K66" s="671"/>
      <c r="L66" s="671"/>
      <c r="M66" s="671"/>
      <c r="N66" s="671"/>
      <c r="O66" s="671"/>
    </row>
    <row r="67" spans="1:29" x14ac:dyDescent="0.25">
      <c r="A67" s="1304"/>
      <c r="B67" s="1304" t="s">
        <v>294</v>
      </c>
      <c r="C67" s="1304"/>
      <c r="D67" s="1046">
        <v>0</v>
      </c>
      <c r="E67" s="1046">
        <v>1</v>
      </c>
      <c r="F67" s="1046">
        <f t="shared" ref="F67:N67" si="41">E67+1</f>
        <v>2</v>
      </c>
      <c r="G67" s="1046">
        <f t="shared" si="41"/>
        <v>3</v>
      </c>
      <c r="H67" s="1046">
        <f t="shared" si="41"/>
        <v>4</v>
      </c>
      <c r="I67" s="1046">
        <f t="shared" si="41"/>
        <v>5</v>
      </c>
      <c r="J67" s="1046">
        <f t="shared" si="41"/>
        <v>6</v>
      </c>
      <c r="K67" s="1046">
        <f t="shared" si="41"/>
        <v>7</v>
      </c>
      <c r="L67" s="1046">
        <f t="shared" si="41"/>
        <v>8</v>
      </c>
      <c r="M67" s="1046">
        <f t="shared" si="41"/>
        <v>9</v>
      </c>
      <c r="N67" s="1046">
        <f t="shared" si="41"/>
        <v>10</v>
      </c>
      <c r="O67" s="1046">
        <f>N67+1</f>
        <v>11</v>
      </c>
      <c r="P67" s="1046">
        <f t="shared" ref="P67:AB67" si="42">O67+1</f>
        <v>12</v>
      </c>
      <c r="Q67" s="1046">
        <f t="shared" si="42"/>
        <v>13</v>
      </c>
      <c r="R67" s="1046">
        <f t="shared" si="42"/>
        <v>14</v>
      </c>
      <c r="S67" s="1046">
        <f t="shared" si="42"/>
        <v>15</v>
      </c>
      <c r="T67" s="1046">
        <f t="shared" si="42"/>
        <v>16</v>
      </c>
      <c r="U67" s="1046">
        <f t="shared" si="42"/>
        <v>17</v>
      </c>
      <c r="V67" s="1046">
        <f t="shared" si="42"/>
        <v>18</v>
      </c>
      <c r="W67" s="1046">
        <f t="shared" si="42"/>
        <v>19</v>
      </c>
      <c r="X67" s="1046">
        <f t="shared" si="42"/>
        <v>20</v>
      </c>
      <c r="Y67" s="1046">
        <f t="shared" si="42"/>
        <v>21</v>
      </c>
      <c r="Z67" s="1046">
        <f t="shared" si="42"/>
        <v>22</v>
      </c>
      <c r="AA67" s="1046">
        <f t="shared" si="42"/>
        <v>23</v>
      </c>
      <c r="AB67" s="1046">
        <f t="shared" si="42"/>
        <v>24</v>
      </c>
    </row>
    <row r="68" spans="1:29" x14ac:dyDescent="0.25">
      <c r="A68" s="1304"/>
      <c r="B68" s="1304" t="s">
        <v>295</v>
      </c>
      <c r="C68" s="1304"/>
      <c r="D68" s="1421">
        <f>+D54</f>
        <v>0</v>
      </c>
      <c r="E68" s="1421">
        <f t="shared" ref="E68:AB68" si="43">+E54</f>
        <v>1395.4378105500009</v>
      </c>
      <c r="F68" s="1421">
        <f t="shared" si="43"/>
        <v>1432.5763527250006</v>
      </c>
      <c r="G68" s="1421">
        <f t="shared" si="43"/>
        <v>1469.9387431837508</v>
      </c>
      <c r="H68" s="1421">
        <f t="shared" si="43"/>
        <v>1507.5272204090882</v>
      </c>
      <c r="I68" s="1421">
        <f t="shared" si="43"/>
        <v>1545.3440452686791</v>
      </c>
      <c r="J68" s="1421">
        <f t="shared" si="43"/>
        <v>1583.3915012388659</v>
      </c>
      <c r="K68" s="1421">
        <f t="shared" si="43"/>
        <v>1621.6718946307549</v>
      </c>
      <c r="L68" s="1421">
        <f t="shared" si="43"/>
        <v>1660.1875548185624</v>
      </c>
      <c r="M68" s="1421">
        <f t="shared" si="43"/>
        <v>1698.9408344702476</v>
      </c>
      <c r="N68" s="1421">
        <f t="shared" si="43"/>
        <v>1737.9341097804502</v>
      </c>
      <c r="O68" s="1421">
        <f t="shared" si="43"/>
        <v>1777.1697807057546</v>
      </c>
      <c r="P68" s="1421">
        <f t="shared" si="43"/>
        <v>1816.6502712023125</v>
      </c>
      <c r="Q68" s="1421">
        <f t="shared" si="43"/>
        <v>1856.3780294658357</v>
      </c>
      <c r="R68" s="1421">
        <f t="shared" si="43"/>
        <v>1896.3555281739941</v>
      </c>
      <c r="S68" s="1421">
        <f t="shared" si="43"/>
        <v>1936.5852647312345</v>
      </c>
      <c r="T68" s="1421">
        <f t="shared" si="43"/>
        <v>1977.0697615160466</v>
      </c>
      <c r="U68" s="1421">
        <f t="shared" si="43"/>
        <v>2017.8115661307068</v>
      </c>
      <c r="V68" s="1421">
        <f t="shared" si="43"/>
        <v>2058.8132516535138</v>
      </c>
      <c r="W68" s="1421">
        <f t="shared" si="43"/>
        <v>2100.0774168935491</v>
      </c>
      <c r="X68" s="1421">
        <f t="shared" si="43"/>
        <v>2141.6066866479846</v>
      </c>
      <c r="Y68" s="1421">
        <f t="shared" si="43"/>
        <v>2183.4037119619647</v>
      </c>
      <c r="Z68" s="1421">
        <f t="shared" si="43"/>
        <v>2225.4711703910843</v>
      </c>
      <c r="AA68" s="1421">
        <f t="shared" si="43"/>
        <v>2267.8117662664918</v>
      </c>
      <c r="AB68" s="1421">
        <f t="shared" si="43"/>
        <v>2310.4282309626569</v>
      </c>
    </row>
    <row r="69" spans="1:29" x14ac:dyDescent="0.25">
      <c r="A69" s="1304"/>
      <c r="B69" s="1304" t="s">
        <v>272</v>
      </c>
      <c r="C69" s="1304"/>
      <c r="D69" s="1422">
        <f>+D37</f>
        <v>0.11200000000000002</v>
      </c>
      <c r="E69" s="1422">
        <f t="shared" ref="E69:AB69" si="44">+E37</f>
        <v>0.11200000000000002</v>
      </c>
      <c r="F69" s="1422">
        <f t="shared" si="44"/>
        <v>0.11200000000000002</v>
      </c>
      <c r="G69" s="1422">
        <f t="shared" si="44"/>
        <v>0.11200000000000002</v>
      </c>
      <c r="H69" s="1422">
        <f t="shared" si="44"/>
        <v>0.11200000000000002</v>
      </c>
      <c r="I69" s="1422">
        <f t="shared" si="44"/>
        <v>0.11200000000000002</v>
      </c>
      <c r="J69" s="1422">
        <f t="shared" si="44"/>
        <v>0.11200000000000002</v>
      </c>
      <c r="K69" s="1422">
        <f t="shared" si="44"/>
        <v>0.11200000000000002</v>
      </c>
      <c r="L69" s="1422">
        <f t="shared" si="44"/>
        <v>0.11200000000000002</v>
      </c>
      <c r="M69" s="1422">
        <f t="shared" si="44"/>
        <v>0.11200000000000002</v>
      </c>
      <c r="N69" s="1422">
        <f t="shared" si="44"/>
        <v>0.11200000000000002</v>
      </c>
      <c r="O69" s="1422">
        <f t="shared" si="44"/>
        <v>0.11200000000000002</v>
      </c>
      <c r="P69" s="1422">
        <f t="shared" si="44"/>
        <v>0.11200000000000002</v>
      </c>
      <c r="Q69" s="1422">
        <f t="shared" si="44"/>
        <v>0.11200000000000002</v>
      </c>
      <c r="R69" s="1422">
        <f t="shared" si="44"/>
        <v>0.11200000000000002</v>
      </c>
      <c r="S69" s="1422">
        <f t="shared" si="44"/>
        <v>0.11200000000000002</v>
      </c>
      <c r="T69" s="1422">
        <f t="shared" si="44"/>
        <v>0.11200000000000002</v>
      </c>
      <c r="U69" s="1422">
        <f t="shared" si="44"/>
        <v>0.11200000000000002</v>
      </c>
      <c r="V69" s="1422">
        <f t="shared" si="44"/>
        <v>0.11200000000000002</v>
      </c>
      <c r="W69" s="1422">
        <f t="shared" si="44"/>
        <v>0.11200000000000002</v>
      </c>
      <c r="X69" s="1422">
        <f t="shared" si="44"/>
        <v>0.11200000000000002</v>
      </c>
      <c r="Y69" s="1422">
        <f t="shared" si="44"/>
        <v>0.11200000000000002</v>
      </c>
      <c r="Z69" s="1422">
        <f t="shared" si="44"/>
        <v>0.11200000000000002</v>
      </c>
      <c r="AA69" s="1422">
        <f t="shared" si="44"/>
        <v>0.11200000000000002</v>
      </c>
      <c r="AB69" s="1422">
        <f t="shared" si="44"/>
        <v>0.11200000000000002</v>
      </c>
      <c r="AC69" s="1422"/>
    </row>
    <row r="70" spans="1:29" x14ac:dyDescent="0.25">
      <c r="A70" s="1304"/>
      <c r="B70" s="1304" t="s">
        <v>296</v>
      </c>
      <c r="C70" s="1304"/>
      <c r="D70" s="1421">
        <f>1/(1+D69)^D67</f>
        <v>1</v>
      </c>
      <c r="E70" s="1423">
        <f>+D70/(1+E69)</f>
        <v>0.89928057553956831</v>
      </c>
      <c r="F70" s="1423">
        <f>+E70/(1+F69)</f>
        <v>0.80870555354277718</v>
      </c>
      <c r="G70" s="1423">
        <f t="shared" ref="G70:AB70" si="45">+F70/(1+G69)</f>
        <v>0.72725319563199375</v>
      </c>
      <c r="H70" s="1423">
        <f t="shared" si="45"/>
        <v>0.65400467233092963</v>
      </c>
      <c r="I70" s="1423">
        <f t="shared" si="45"/>
        <v>0.58813369813932515</v>
      </c>
      <c r="J70" s="1423">
        <f t="shared" si="45"/>
        <v>0.52889721055694705</v>
      </c>
      <c r="K70" s="1423">
        <f t="shared" si="45"/>
        <v>0.47562698791092356</v>
      </c>
      <c r="L70" s="1423">
        <f t="shared" si="45"/>
        <v>0.42772211143068661</v>
      </c>
      <c r="M70" s="1423">
        <f t="shared" si="45"/>
        <v>0.38464218653838722</v>
      </c>
      <c r="N70" s="1423">
        <f t="shared" si="45"/>
        <v>0.34590124688703883</v>
      </c>
      <c r="O70" s="1423">
        <f t="shared" si="45"/>
        <v>0.31106227238043055</v>
      </c>
      <c r="P70" s="1423">
        <f t="shared" si="45"/>
        <v>0.27973225933491952</v>
      </c>
      <c r="Q70" s="1423">
        <f t="shared" si="45"/>
        <v>0.25155778717169019</v>
      </c>
      <c r="R70" s="1423">
        <f t="shared" si="45"/>
        <v>0.22622103162921778</v>
      </c>
      <c r="S70" s="1423">
        <f t="shared" si="45"/>
        <v>0.20343617952267784</v>
      </c>
      <c r="T70" s="1423">
        <f t="shared" si="45"/>
        <v>0.18294620460672467</v>
      </c>
      <c r="U70" s="1423">
        <f t="shared" si="45"/>
        <v>0.16451996817151499</v>
      </c>
      <c r="V70" s="1423">
        <f t="shared" si="45"/>
        <v>0.14794961166503146</v>
      </c>
      <c r="W70" s="1423">
        <f t="shared" si="45"/>
        <v>0.13304821192898511</v>
      </c>
      <c r="X70" s="1423">
        <f t="shared" si="45"/>
        <v>0.11964767259800818</v>
      </c>
      <c r="Y70" s="1423">
        <f t="shared" si="45"/>
        <v>0.10759682787590663</v>
      </c>
      <c r="Z70" s="1423">
        <f t="shared" si="45"/>
        <v>9.6759737298477172E-2</v>
      </c>
      <c r="AA70" s="1423">
        <f t="shared" si="45"/>
        <v>8.7014152246831983E-2</v>
      </c>
      <c r="AB70" s="1423">
        <f t="shared" si="45"/>
        <v>7.8250136912618687E-2</v>
      </c>
    </row>
    <row r="71" spans="1:29" x14ac:dyDescent="0.25">
      <c r="A71" s="1304"/>
      <c r="B71" s="1304" t="s">
        <v>297</v>
      </c>
      <c r="C71" s="1304"/>
      <c r="D71" s="1421">
        <f>+D68*D70</f>
        <v>0</v>
      </c>
      <c r="E71" s="1421">
        <f>+E68*E70</f>
        <v>1254.8901174010798</v>
      </c>
      <c r="F71" s="1421">
        <f t="shared" ref="F71:AB71" si="46">+F68*F70</f>
        <v>1158.5324523227644</v>
      </c>
      <c r="G71" s="1421">
        <f t="shared" si="46"/>
        <v>1069.0176483636594</v>
      </c>
      <c r="H71" s="1421">
        <f t="shared" si="46"/>
        <v>985.92984581360281</v>
      </c>
      <c r="I71" s="1421">
        <f t="shared" si="46"/>
        <v>908.86890824145291</v>
      </c>
      <c r="J71" s="1421">
        <f t="shared" si="46"/>
        <v>837.45134822481293</v>
      </c>
      <c r="K71" s="1421">
        <f t="shared" si="46"/>
        <v>771.31091862302651</v>
      </c>
      <c r="L71" s="1421">
        <f t="shared" si="46"/>
        <v>710.09892631794423</v>
      </c>
      <c r="M71" s="1421">
        <f t="shared" si="46"/>
        <v>653.48431736998828</v>
      </c>
      <c r="N71" s="1421">
        <f t="shared" si="46"/>
        <v>601.15357558057349</v>
      </c>
      <c r="O71" s="1421">
        <f t="shared" si="46"/>
        <v>552.81047039216344</v>
      </c>
      <c r="P71" s="1421">
        <f t="shared" si="46"/>
        <v>508.17568478481718</v>
      </c>
      <c r="Q71" s="1421">
        <f t="shared" si="46"/>
        <v>466.9863492465683</v>
      </c>
      <c r="R71" s="1421">
        <f t="shared" si="46"/>
        <v>428.99550391929108</v>
      </c>
      <c r="S71" s="1421">
        <f t="shared" si="46"/>
        <v>393.97150757683602</v>
      </c>
      <c r="T71" s="1421">
        <f t="shared" si="46"/>
        <v>361.69740911208299</v>
      </c>
      <c r="U71" s="1421">
        <f t="shared" si="46"/>
        <v>331.97029463593867</v>
      </c>
      <c r="V71" s="1421">
        <f t="shared" si="46"/>
        <v>304.60062107295806</v>
      </c>
      <c r="W71" s="1421">
        <f t="shared" si="46"/>
        <v>279.41154523012852</v>
      </c>
      <c r="X71" s="1421">
        <f t="shared" si="46"/>
        <v>256.23825567776316</v>
      </c>
      <c r="Y71" s="1421">
        <f t="shared" si="46"/>
        <v>234.92731337958713</v>
      </c>
      <c r="Z71" s="1421">
        <f t="shared" si="46"/>
        <v>215.33600581237584</v>
      </c>
      <c r="AA71" s="1421">
        <f t="shared" si="46"/>
        <v>197.33171829706947</v>
      </c>
      <c r="AB71" s="1421">
        <f t="shared" si="46"/>
        <v>180.7913253996073</v>
      </c>
    </row>
    <row r="72" spans="1:29" x14ac:dyDescent="0.25">
      <c r="A72" s="1304"/>
      <c r="B72" s="819" t="s">
        <v>298</v>
      </c>
      <c r="C72" s="1304"/>
      <c r="D72" s="1424">
        <f>+SUM(E71:N71)</f>
        <v>8950.7380582589067</v>
      </c>
      <c r="E72" s="1424">
        <f>+SUM(F71:O71)/E70</f>
        <v>9172.5081533099874</v>
      </c>
      <c r="F72" s="1424">
        <f t="shared" ref="F72:Q72" si="47">+SUM(G71:P71)/F70</f>
        <v>9395.6343077222646</v>
      </c>
      <c r="G72" s="1424">
        <f t="shared" si="47"/>
        <v>9620.1300820893448</v>
      </c>
      <c r="H72" s="1424">
        <f t="shared" si="47"/>
        <v>9846.0091726107767</v>
      </c>
      <c r="I72" s="1424">
        <f t="shared" si="47"/>
        <v>10073.285412448105</v>
      </c>
      <c r="J72" s="1424">
        <f t="shared" si="47"/>
        <v>10301.972773094489</v>
      </c>
      <c r="K72" s="1424">
        <f t="shared" si="47"/>
        <v>10532.085365758017</v>
      </c>
      <c r="L72" s="1424">
        <f t="shared" si="47"/>
        <v>10763.637442758865</v>
      </c>
      <c r="M72" s="1424">
        <f t="shared" si="47"/>
        <v>10996.643398940398</v>
      </c>
      <c r="N72" s="1424">
        <f t="shared" si="47"/>
        <v>11231.117773094435</v>
      </c>
      <c r="O72" s="1424">
        <f t="shared" si="47"/>
        <v>11467.07524940069</v>
      </c>
      <c r="P72" s="1424">
        <f t="shared" si="47"/>
        <v>11704.530658880691</v>
      </c>
      <c r="Q72" s="1424">
        <f t="shared" si="47"/>
        <v>11943.49898086617</v>
      </c>
      <c r="R72" s="1424"/>
      <c r="S72" s="1424"/>
      <c r="T72" s="1424"/>
      <c r="U72" s="1424"/>
      <c r="V72" s="1424"/>
    </row>
    <row r="73" spans="1:29" ht="16.5" thickBot="1" x14ac:dyDescent="0.3">
      <c r="A73" s="1304"/>
      <c r="B73" s="819" t="s">
        <v>299</v>
      </c>
      <c r="C73" s="1304"/>
      <c r="D73" s="1424">
        <f>+O68/(O69-O$29)*N70</f>
        <v>6026.7180693733899</v>
      </c>
      <c r="E73" s="1424">
        <f>+P68/(P69-P$29)*O70/E70</f>
        <v>6160.6038624172243</v>
      </c>
      <c r="F73" s="1424">
        <f t="shared" ref="F73:Q73" si="48">+Q68/(Q69-Q$29)*P70/F70</f>
        <v>6295.3281871170238</v>
      </c>
      <c r="G73" s="1424">
        <f t="shared" si="48"/>
        <v>6430.8994287893483</v>
      </c>
      <c r="H73" s="1424">
        <f t="shared" si="48"/>
        <v>6567.3260566039216</v>
      </c>
      <c r="I73" s="1424">
        <f t="shared" si="48"/>
        <v>6704.6166244221631</v>
      </c>
      <c r="J73" s="1424">
        <f t="shared" si="48"/>
        <v>6842.7797716441155</v>
      </c>
      <c r="K73" s="1424">
        <f t="shared" si="48"/>
        <v>6981.8242240638147</v>
      </c>
      <c r="L73" s="1424">
        <f t="shared" si="48"/>
        <v>7121.7587947332349</v>
      </c>
      <c r="M73" s="1424">
        <f t="shared" si="48"/>
        <v>7262.5923848348775</v>
      </c>
      <c r="N73" s="1424">
        <f t="shared" si="48"/>
        <v>7404.3339845630617</v>
      </c>
      <c r="O73" s="1424">
        <f t="shared" si="48"/>
        <v>7546.9926740140554</v>
      </c>
      <c r="P73" s="1424">
        <f t="shared" si="48"/>
        <v>7690.577624085071</v>
      </c>
      <c r="Q73" s="1424">
        <f t="shared" si="48"/>
        <v>7835.0980973823362</v>
      </c>
      <c r="R73" s="1424"/>
      <c r="S73" s="1424"/>
      <c r="T73" s="1424"/>
      <c r="U73" s="1424"/>
      <c r="V73" s="1424"/>
    </row>
    <row r="74" spans="1:29" ht="16.5" thickBot="1" x14ac:dyDescent="0.3">
      <c r="A74" s="671"/>
      <c r="B74" s="1425" t="s">
        <v>300</v>
      </c>
      <c r="C74" s="1148"/>
      <c r="D74" s="1426">
        <f>+D72+D73</f>
        <v>14977.456127632297</v>
      </c>
      <c r="E74" s="1426">
        <f t="shared" ref="E74:Q74" si="49">+E72+E73</f>
        <v>15333.112015727213</v>
      </c>
      <c r="F74" s="1426">
        <f t="shared" si="49"/>
        <v>15690.962494839288</v>
      </c>
      <c r="G74" s="1426">
        <f t="shared" si="49"/>
        <v>16051.029510878692</v>
      </c>
      <c r="H74" s="1426">
        <f t="shared" si="49"/>
        <v>16413.335229214699</v>
      </c>
      <c r="I74" s="1426">
        <f t="shared" si="49"/>
        <v>16777.90203687027</v>
      </c>
      <c r="J74" s="1426">
        <f t="shared" si="49"/>
        <v>17144.752544738603</v>
      </c>
      <c r="K74" s="1426">
        <f t="shared" si="49"/>
        <v>17513.909589821833</v>
      </c>
      <c r="L74" s="1426">
        <f t="shared" si="49"/>
        <v>17885.396237492099</v>
      </c>
      <c r="M74" s="1426">
        <f t="shared" si="49"/>
        <v>18259.235783775275</v>
      </c>
      <c r="N74" s="1426">
        <f t="shared" si="49"/>
        <v>18635.451757657494</v>
      </c>
      <c r="O74" s="1426">
        <f t="shared" si="49"/>
        <v>19014.067923414746</v>
      </c>
      <c r="P74" s="1426">
        <f t="shared" si="49"/>
        <v>19395.108282965761</v>
      </c>
      <c r="Q74" s="1426">
        <f t="shared" si="49"/>
        <v>19778.597078248506</v>
      </c>
    </row>
    <row r="75" spans="1:29" ht="16.5" thickBot="1" x14ac:dyDescent="0.3">
      <c r="A75" s="671"/>
      <c r="B75" s="1304" t="s">
        <v>301</v>
      </c>
      <c r="C75" s="768"/>
      <c r="D75" s="1128">
        <f>-D14</f>
        <v>-4907.4540000000015</v>
      </c>
      <c r="E75" s="1128">
        <f t="shared" ref="E75:Q75" si="50">-E14</f>
        <v>-5283.8242500000015</v>
      </c>
      <c r="F75" s="1128">
        <f t="shared" si="50"/>
        <v>-5660.1945000000014</v>
      </c>
      <c r="G75" s="1128">
        <f t="shared" si="50"/>
        <v>-6036.5647500000014</v>
      </c>
      <c r="H75" s="1128">
        <f t="shared" si="50"/>
        <v>-6412.9350000000013</v>
      </c>
      <c r="I75" s="1128">
        <f t="shared" si="50"/>
        <v>-6789.3052500000013</v>
      </c>
      <c r="J75" s="1128">
        <f t="shared" si="50"/>
        <v>-7165.6755000000012</v>
      </c>
      <c r="K75" s="1128">
        <f t="shared" si="50"/>
        <v>-7542.0457500000011</v>
      </c>
      <c r="L75" s="1128">
        <f t="shared" si="50"/>
        <v>-7918.4160000000011</v>
      </c>
      <c r="M75" s="1128">
        <f t="shared" si="50"/>
        <v>-8294.786250000001</v>
      </c>
      <c r="N75" s="1128">
        <f t="shared" si="50"/>
        <v>-8671.156500000001</v>
      </c>
      <c r="O75" s="1128">
        <f t="shared" si="50"/>
        <v>-9047.5267500000009</v>
      </c>
      <c r="P75" s="1128">
        <f t="shared" si="50"/>
        <v>-9423.8970000000008</v>
      </c>
      <c r="Q75" s="1128">
        <f t="shared" si="50"/>
        <v>-9800.2672500000008</v>
      </c>
    </row>
    <row r="76" spans="1:29" ht="16.5" thickBot="1" x14ac:dyDescent="0.3">
      <c r="A76" s="1427" t="s">
        <v>302</v>
      </c>
      <c r="B76" s="1428" t="s">
        <v>303</v>
      </c>
      <c r="C76" s="1429"/>
      <c r="D76" s="1430">
        <f t="shared" ref="D76:Q76" si="51">+D74+D75</f>
        <v>10070.002127632295</v>
      </c>
      <c r="E76" s="1430">
        <f t="shared" si="51"/>
        <v>10049.287765727211</v>
      </c>
      <c r="F76" s="1430">
        <f t="shared" si="51"/>
        <v>10030.767994839287</v>
      </c>
      <c r="G76" s="1430">
        <f t="shared" si="51"/>
        <v>10014.464760878691</v>
      </c>
      <c r="H76" s="1430">
        <f t="shared" si="51"/>
        <v>10000.400229214698</v>
      </c>
      <c r="I76" s="1430">
        <f t="shared" si="51"/>
        <v>9988.5967868702683</v>
      </c>
      <c r="J76" s="1430">
        <f t="shared" si="51"/>
        <v>9979.0770447386021</v>
      </c>
      <c r="K76" s="1430">
        <f t="shared" si="51"/>
        <v>9971.8638398218318</v>
      </c>
      <c r="L76" s="1430">
        <f t="shared" si="51"/>
        <v>9966.9802374920982</v>
      </c>
      <c r="M76" s="1430">
        <f t="shared" si="51"/>
        <v>9964.4495337752742</v>
      </c>
      <c r="N76" s="1430">
        <f t="shared" si="51"/>
        <v>9964.2952576574935</v>
      </c>
      <c r="O76" s="1430">
        <f t="shared" si="51"/>
        <v>9966.5411734147456</v>
      </c>
      <c r="P76" s="1430">
        <f t="shared" si="51"/>
        <v>9971.2112829657599</v>
      </c>
      <c r="Q76" s="1430">
        <f t="shared" si="51"/>
        <v>9978.3298282485048</v>
      </c>
    </row>
    <row r="77" spans="1:29" ht="16.5" thickBot="1" x14ac:dyDescent="0.3"/>
    <row r="78" spans="1:29" x14ac:dyDescent="0.25">
      <c r="A78" s="1304"/>
      <c r="B78" s="1304" t="s">
        <v>304</v>
      </c>
      <c r="C78" s="1304"/>
      <c r="D78" s="1046">
        <v>0</v>
      </c>
      <c r="E78" s="1046">
        <v>1</v>
      </c>
      <c r="F78" s="1046">
        <f t="shared" ref="F78:N78" si="52">E78+1</f>
        <v>2</v>
      </c>
      <c r="G78" s="1046">
        <f t="shared" si="52"/>
        <v>3</v>
      </c>
      <c r="H78" s="1046">
        <f t="shared" si="52"/>
        <v>4</v>
      </c>
      <c r="I78" s="1046">
        <f t="shared" si="52"/>
        <v>5</v>
      </c>
      <c r="J78" s="1046">
        <f t="shared" si="52"/>
        <v>6</v>
      </c>
      <c r="K78" s="1046">
        <f t="shared" si="52"/>
        <v>7</v>
      </c>
      <c r="L78" s="1046">
        <f t="shared" si="52"/>
        <v>8</v>
      </c>
      <c r="M78" s="1046">
        <f t="shared" si="52"/>
        <v>9</v>
      </c>
      <c r="N78" s="1046">
        <f t="shared" si="52"/>
        <v>10</v>
      </c>
      <c r="O78" s="1046">
        <f>N78+1</f>
        <v>11</v>
      </c>
      <c r="P78" s="1046">
        <f t="shared" ref="P78:AB78" si="53">O78+1</f>
        <v>12</v>
      </c>
      <c r="Q78" s="1046">
        <f t="shared" si="53"/>
        <v>13</v>
      </c>
      <c r="R78" s="1046">
        <f t="shared" si="53"/>
        <v>14</v>
      </c>
      <c r="S78" s="1046">
        <f t="shared" si="53"/>
        <v>15</v>
      </c>
      <c r="T78" s="1046">
        <f t="shared" si="53"/>
        <v>16</v>
      </c>
      <c r="U78" s="1046">
        <f t="shared" si="53"/>
        <v>17</v>
      </c>
      <c r="V78" s="1046">
        <f t="shared" si="53"/>
        <v>18</v>
      </c>
      <c r="W78" s="1046">
        <f t="shared" si="53"/>
        <v>19</v>
      </c>
      <c r="X78" s="1046">
        <f t="shared" si="53"/>
        <v>20</v>
      </c>
      <c r="Y78" s="1046">
        <f t="shared" si="53"/>
        <v>21</v>
      </c>
      <c r="Z78" s="1046">
        <f t="shared" si="53"/>
        <v>22</v>
      </c>
      <c r="AA78" s="1046">
        <f t="shared" si="53"/>
        <v>23</v>
      </c>
      <c r="AB78" s="1046">
        <f t="shared" si="53"/>
        <v>24</v>
      </c>
    </row>
    <row r="79" spans="1:29" x14ac:dyDescent="0.25">
      <c r="A79" s="1304"/>
      <c r="B79" s="1304" t="s">
        <v>305</v>
      </c>
      <c r="C79" s="1304"/>
      <c r="D79" s="1421">
        <f t="shared" ref="D79:AB79" si="54">+D52</f>
        <v>0</v>
      </c>
      <c r="E79" s="1421">
        <f t="shared" si="54"/>
        <v>1203.0656137500009</v>
      </c>
      <c r="F79" s="1421">
        <f t="shared" si="54"/>
        <v>1225.4504421250006</v>
      </c>
      <c r="G79" s="1421">
        <f t="shared" si="54"/>
        <v>1248.0591187837508</v>
      </c>
      <c r="H79" s="1421">
        <f t="shared" si="54"/>
        <v>1270.8938822090881</v>
      </c>
      <c r="I79" s="1421">
        <f t="shared" si="54"/>
        <v>1293.9569932686791</v>
      </c>
      <c r="J79" s="1421">
        <f t="shared" si="54"/>
        <v>1317.2507354388658</v>
      </c>
      <c r="K79" s="1421">
        <f t="shared" si="54"/>
        <v>1340.7774150307548</v>
      </c>
      <c r="L79" s="1421">
        <f t="shared" si="54"/>
        <v>1364.5393614185623</v>
      </c>
      <c r="M79" s="1421">
        <f t="shared" si="54"/>
        <v>1388.5389272702475</v>
      </c>
      <c r="N79" s="1421">
        <f t="shared" si="54"/>
        <v>1412.7784887804501</v>
      </c>
      <c r="O79" s="1421">
        <f t="shared" si="54"/>
        <v>1437.2604459057545</v>
      </c>
      <c r="P79" s="1421">
        <f t="shared" si="54"/>
        <v>1461.9872226023124</v>
      </c>
      <c r="Q79" s="1421">
        <f t="shared" si="54"/>
        <v>1486.9612670658355</v>
      </c>
      <c r="R79" s="1421">
        <f t="shared" si="54"/>
        <v>1512.185051973994</v>
      </c>
      <c r="S79" s="1421">
        <f t="shared" si="54"/>
        <v>1537.6610747312343</v>
      </c>
      <c r="T79" s="1421">
        <f t="shared" si="54"/>
        <v>1563.3918577160466</v>
      </c>
      <c r="U79" s="1421">
        <f t="shared" si="54"/>
        <v>1589.3799485307068</v>
      </c>
      <c r="V79" s="1421">
        <f t="shared" si="54"/>
        <v>1615.6279202535138</v>
      </c>
      <c r="W79" s="1421">
        <f t="shared" si="54"/>
        <v>1642.1383716935491</v>
      </c>
      <c r="X79" s="1421">
        <f t="shared" si="54"/>
        <v>1668.9139276479846</v>
      </c>
      <c r="Y79" s="1421">
        <f t="shared" si="54"/>
        <v>1695.9572391619645</v>
      </c>
      <c r="Z79" s="1421">
        <f t="shared" si="54"/>
        <v>1723.2709837910845</v>
      </c>
      <c r="AA79" s="1421">
        <f t="shared" si="54"/>
        <v>1750.8578658664915</v>
      </c>
      <c r="AB79" s="1421">
        <f t="shared" si="54"/>
        <v>1778.7206167626566</v>
      </c>
    </row>
    <row r="80" spans="1:29" x14ac:dyDescent="0.25">
      <c r="A80" s="1304"/>
      <c r="B80" s="1304" t="s">
        <v>278</v>
      </c>
      <c r="C80" s="1304"/>
      <c r="D80" s="1422">
        <f t="shared" ref="D80:AB80" si="55">+D40</f>
        <v>0</v>
      </c>
      <c r="E80" s="1422">
        <f t="shared" si="55"/>
        <v>9.9861760263732099E-2</v>
      </c>
      <c r="F80" s="1422">
        <f t="shared" si="55"/>
        <v>9.9180312336991816E-2</v>
      </c>
      <c r="G80" s="1422">
        <f t="shared" si="55"/>
        <v>9.8531327805776725E-2</v>
      </c>
      <c r="H80" s="1422">
        <f t="shared" si="55"/>
        <v>9.7912915559430283E-2</v>
      </c>
      <c r="I80" s="1422">
        <f t="shared" si="55"/>
        <v>9.7323329075390153E-2</v>
      </c>
      <c r="J80" s="1422">
        <f t="shared" si="55"/>
        <v>9.6760952891685015E-2</v>
      </c>
      <c r="K80" s="1422">
        <f t="shared" si="55"/>
        <v>9.622429057060275E-2</v>
      </c>
      <c r="L80" s="1422">
        <f t="shared" si="55"/>
        <v>9.5711953964987981E-2</v>
      </c>
      <c r="M80" s="1422">
        <f t="shared" si="55"/>
        <v>9.5222653625379169E-2</v>
      </c>
      <c r="N80" s="1422">
        <f t="shared" si="55"/>
        <v>9.4755190208753393E-2</v>
      </c>
      <c r="O80" s="1422">
        <f t="shared" si="55"/>
        <v>9.4308446768727794E-2</v>
      </c>
      <c r="P80" s="1422">
        <f t="shared" si="55"/>
        <v>9.3881381823259002E-2</v>
      </c>
      <c r="Q80" s="1422">
        <f t="shared" si="55"/>
        <v>9.3473023109659104E-2</v>
      </c>
      <c r="R80" s="1422">
        <f t="shared" si="55"/>
        <v>9.3473023109659104E-2</v>
      </c>
      <c r="S80" s="1422">
        <f t="shared" si="55"/>
        <v>9.3473023109659104E-2</v>
      </c>
      <c r="T80" s="1422">
        <f t="shared" si="55"/>
        <v>9.3473023109659104E-2</v>
      </c>
      <c r="U80" s="1422">
        <f t="shared" si="55"/>
        <v>9.3473023109659104E-2</v>
      </c>
      <c r="V80" s="1422">
        <f t="shared" si="55"/>
        <v>9.3473023109659104E-2</v>
      </c>
      <c r="W80" s="1422">
        <f t="shared" si="55"/>
        <v>9.3473023109659104E-2</v>
      </c>
      <c r="X80" s="1422">
        <f t="shared" si="55"/>
        <v>9.3473023109659104E-2</v>
      </c>
      <c r="Y80" s="1422">
        <f t="shared" si="55"/>
        <v>9.3473023109659104E-2</v>
      </c>
      <c r="Z80" s="1422">
        <f t="shared" si="55"/>
        <v>9.3473023109659104E-2</v>
      </c>
      <c r="AA80" s="1422">
        <f t="shared" si="55"/>
        <v>9.3473023109659104E-2</v>
      </c>
      <c r="AB80" s="1422">
        <f t="shared" si="55"/>
        <v>0</v>
      </c>
      <c r="AC80" s="1422"/>
    </row>
    <row r="81" spans="1:29" x14ac:dyDescent="0.25">
      <c r="A81" s="1304"/>
      <c r="B81" s="1304" t="s">
        <v>296</v>
      </c>
      <c r="C81" s="1304"/>
      <c r="D81" s="1421">
        <f>1/(1+D80)^D78</f>
        <v>1</v>
      </c>
      <c r="E81" s="1423">
        <f>+D81/(1+E80)</f>
        <v>0.90920517116643218</v>
      </c>
      <c r="F81" s="1423">
        <f>+E81/(1+F80)</f>
        <v>0.82716653579188537</v>
      </c>
      <c r="G81" s="1423">
        <f t="shared" ref="G81:AB81" si="56">+F81/(1+G80)</f>
        <v>0.75297491737816935</v>
      </c>
      <c r="H81" s="1423">
        <f t="shared" si="56"/>
        <v>0.68582389978944613</v>
      </c>
      <c r="I81" s="1423">
        <f t="shared" si="56"/>
        <v>0.62499710123480623</v>
      </c>
      <c r="J81" s="1423">
        <f t="shared" si="56"/>
        <v>0.56985717770764788</v>
      </c>
      <c r="K81" s="1423">
        <f t="shared" si="56"/>
        <v>0.51983629865657133</v>
      </c>
      <c r="L81" s="1423">
        <f t="shared" si="56"/>
        <v>0.47442787931214081</v>
      </c>
      <c r="M81" s="1423">
        <f t="shared" si="56"/>
        <v>0.43317938844827697</v>
      </c>
      <c r="N81" s="1423">
        <f t="shared" si="56"/>
        <v>0.39568607878961154</v>
      </c>
      <c r="O81" s="1423">
        <f t="shared" si="56"/>
        <v>0.36158551088405899</v>
      </c>
      <c r="P81" s="1423">
        <f t="shared" si="56"/>
        <v>0.33055276092310459</v>
      </c>
      <c r="Q81" s="1423">
        <f t="shared" si="56"/>
        <v>0.30229621941935653</v>
      </c>
      <c r="R81" s="1423">
        <f t="shared" si="56"/>
        <v>0.27645512329117672</v>
      </c>
      <c r="S81" s="1423">
        <f t="shared" si="56"/>
        <v>0.25282299375341094</v>
      </c>
      <c r="T81" s="1423">
        <f t="shared" si="56"/>
        <v>0.23121100238433279</v>
      </c>
      <c r="U81" s="1423">
        <f t="shared" si="56"/>
        <v>0.21144646232497477</v>
      </c>
      <c r="V81" s="1423">
        <f t="shared" si="56"/>
        <v>0.19337144845481008</v>
      </c>
      <c r="W81" s="1423">
        <f t="shared" si="56"/>
        <v>0.17684153551853818</v>
      </c>
      <c r="X81" s="1423">
        <f t="shared" si="56"/>
        <v>0.16172464412119622</v>
      </c>
      <c r="Y81" s="1423">
        <f t="shared" si="56"/>
        <v>0.14789998537072063</v>
      </c>
      <c r="Z81" s="1423">
        <f t="shared" si="56"/>
        <v>0.13525709573530875</v>
      </c>
      <c r="AA81" s="1423">
        <f t="shared" si="56"/>
        <v>0.12369495440377636</v>
      </c>
      <c r="AB81" s="1423">
        <f t="shared" si="56"/>
        <v>0.12369495440377636</v>
      </c>
    </row>
    <row r="82" spans="1:29" x14ac:dyDescent="0.25">
      <c r="A82" s="1304"/>
      <c r="B82" s="1304" t="s">
        <v>297</v>
      </c>
      <c r="C82" s="1304"/>
      <c r="D82" s="1421">
        <f>+D79*D81</f>
        <v>0</v>
      </c>
      <c r="E82" s="1421">
        <f>+E79*E81</f>
        <v>1093.8334772740184</v>
      </c>
      <c r="F82" s="1421">
        <f t="shared" ref="F82:AB82" si="57">+F79*F81</f>
        <v>1013.6515969971711</v>
      </c>
      <c r="G82" s="1421">
        <f t="shared" si="57"/>
        <v>939.75721184926567</v>
      </c>
      <c r="H82" s="1421">
        <f t="shared" si="57"/>
        <v>871.60939851518583</v>
      </c>
      <c r="I82" s="1421">
        <f t="shared" si="57"/>
        <v>808.71936991543009</v>
      </c>
      <c r="J82" s="1421">
        <f t="shared" si="57"/>
        <v>750.64478643051564</v>
      </c>
      <c r="K82" s="1421">
        <f t="shared" si="57"/>
        <v>696.98476875191318</v>
      </c>
      <c r="L82" s="1421">
        <f t="shared" si="57"/>
        <v>647.3755154757514</v>
      </c>
      <c r="M82" s="1421">
        <f t="shared" si="57"/>
        <v>601.48644335155234</v>
      </c>
      <c r="N82" s="1421">
        <f t="shared" si="57"/>
        <v>559.01678042384947</v>
      </c>
      <c r="O82" s="1421">
        <f t="shared" si="57"/>
        <v>519.69255260628267</v>
      </c>
      <c r="P82" s="1421">
        <f t="shared" si="57"/>
        <v>483.26391286549585</v>
      </c>
      <c r="Q82" s="1421">
        <f t="shared" si="57"/>
        <v>449.50276945701819</v>
      </c>
      <c r="R82" s="1421">
        <f t="shared" si="57"/>
        <v>418.05130498254499</v>
      </c>
      <c r="S82" s="1421">
        <f t="shared" si="57"/>
        <v>388.75607629163801</v>
      </c>
      <c r="T82" s="1421">
        <f t="shared" si="57"/>
        <v>361.4733985420313</v>
      </c>
      <c r="U82" s="1421">
        <f t="shared" si="57"/>
        <v>336.06876740706844</v>
      </c>
      <c r="V82" s="1421">
        <f t="shared" si="57"/>
        <v>312.41631110345435</v>
      </c>
      <c r="W82" s="1421">
        <f t="shared" si="57"/>
        <v>290.39827118419919</v>
      </c>
      <c r="X82" s="1421">
        <f t="shared" si="57"/>
        <v>269.90451101777813</v>
      </c>
      <c r="Y82" s="1421">
        <f t="shared" si="57"/>
        <v>250.83205086142229</v>
      </c>
      <c r="Z82" s="1421">
        <f t="shared" si="57"/>
        <v>233.08462843251041</v>
      </c>
      <c r="AA82" s="1421">
        <f t="shared" si="57"/>
        <v>216.57228388584883</v>
      </c>
      <c r="AB82" s="1421">
        <f t="shared" si="57"/>
        <v>220.01876558751377</v>
      </c>
    </row>
    <row r="83" spans="1:29" x14ac:dyDescent="0.25">
      <c r="A83" s="1304"/>
      <c r="B83" s="1304" t="s">
        <v>306</v>
      </c>
      <c r="C83" s="1304"/>
      <c r="D83" s="1424">
        <f>+SUM(E82:N82)</f>
        <v>7983.0793489846546</v>
      </c>
      <c r="E83" s="1424">
        <f>+SUM(F82:O82)/E81</f>
        <v>8148.8080570548063</v>
      </c>
      <c r="F83" s="1424">
        <f t="shared" ref="F83:N83" si="58">+SUM(G82:P82)/F81</f>
        <v>8315.7991076126909</v>
      </c>
      <c r="G83" s="1424">
        <f t="shared" si="58"/>
        <v>8484.0758308879722</v>
      </c>
      <c r="H83" s="1424">
        <f t="shared" si="58"/>
        <v>8653.4432615754122</v>
      </c>
      <c r="I83" s="1424">
        <f t="shared" si="58"/>
        <v>8823.6807814644671</v>
      </c>
      <c r="J83" s="1424">
        <f t="shared" si="58"/>
        <v>8994.5406029046298</v>
      </c>
      <c r="K83" s="1424">
        <f t="shared" si="58"/>
        <v>9165.7460891375995</v>
      </c>
      <c r="L83" s="1424">
        <f t="shared" si="58"/>
        <v>9336.9898991886166</v>
      </c>
      <c r="M83" s="1424">
        <f t="shared" si="58"/>
        <v>9507.9319438934053</v>
      </c>
      <c r="N83" s="1424">
        <f t="shared" si="58"/>
        <v>9678.1971384282442</v>
      </c>
      <c r="O83" s="1421"/>
    </row>
    <row r="84" spans="1:29" ht="16.5" thickBot="1" x14ac:dyDescent="0.3">
      <c r="A84" s="1304"/>
      <c r="B84" s="1304" t="s">
        <v>307</v>
      </c>
      <c r="C84" s="1304"/>
      <c r="D84" s="1424">
        <f>+O79/(O80-O$29)*N81</f>
        <v>6745.5156848032893</v>
      </c>
      <c r="E84" s="1424">
        <f t="shared" ref="E84:N84" si="59">+P79/(P80-P$29)*O81/E81</f>
        <v>6931.4983336041269</v>
      </c>
      <c r="F84" s="1424">
        <f t="shared" si="59"/>
        <v>7118.7107416119889</v>
      </c>
      <c r="G84" s="1424">
        <f t="shared" si="59"/>
        <v>7272.9567438570948</v>
      </c>
      <c r="H84" s="1424">
        <f t="shared" si="59"/>
        <v>7425.5137279238934</v>
      </c>
      <c r="I84" s="1424">
        <f t="shared" si="59"/>
        <v>7576.3541971877139</v>
      </c>
      <c r="J84" s="1424">
        <f t="shared" si="59"/>
        <v>7725.4548891760041</v>
      </c>
      <c r="K84" s="1424">
        <f t="shared" si="59"/>
        <v>7872.7965593130912</v>
      </c>
      <c r="L84" s="1424">
        <f t="shared" si="59"/>
        <v>8018.363772683042</v>
      </c>
      <c r="M84" s="1424">
        <f t="shared" si="59"/>
        <v>8162.144703678151</v>
      </c>
      <c r="N84" s="1424">
        <f t="shared" si="59"/>
        <v>8304.1309433866863</v>
      </c>
      <c r="O84" s="1421"/>
    </row>
    <row r="85" spans="1:29" ht="16.5" thickBot="1" x14ac:dyDescent="0.3">
      <c r="A85" s="671"/>
      <c r="B85" s="1147" t="s">
        <v>300</v>
      </c>
      <c r="C85" s="1148"/>
      <c r="D85" s="1426">
        <f>+D83+D84</f>
        <v>14728.595033787944</v>
      </c>
      <c r="E85" s="1426">
        <f t="shared" ref="E85:N85" si="60">+E83+E84</f>
        <v>15080.306390658934</v>
      </c>
      <c r="F85" s="1426">
        <f t="shared" si="60"/>
        <v>15434.50984922468</v>
      </c>
      <c r="G85" s="1426">
        <f t="shared" si="60"/>
        <v>15757.032574745066</v>
      </c>
      <c r="H85" s="1426">
        <f t="shared" si="60"/>
        <v>16078.956989499306</v>
      </c>
      <c r="I85" s="1426">
        <f t="shared" si="60"/>
        <v>16400.03497865218</v>
      </c>
      <c r="J85" s="1426">
        <f t="shared" si="60"/>
        <v>16719.995492080634</v>
      </c>
      <c r="K85" s="1426">
        <f t="shared" si="60"/>
        <v>17038.54264845069</v>
      </c>
      <c r="L85" s="1426">
        <f t="shared" si="60"/>
        <v>17355.353671871657</v>
      </c>
      <c r="M85" s="1426">
        <f t="shared" si="60"/>
        <v>17670.076647571557</v>
      </c>
      <c r="N85" s="1426">
        <f t="shared" si="60"/>
        <v>17982.328081814929</v>
      </c>
      <c r="O85" s="671"/>
    </row>
    <row r="86" spans="1:29" ht="16.5" thickBot="1" x14ac:dyDescent="0.3">
      <c r="A86" s="671"/>
      <c r="B86" s="1304" t="s">
        <v>301</v>
      </c>
      <c r="C86" s="768"/>
      <c r="D86" s="1128">
        <f t="shared" ref="D86:N86" si="61">-D14</f>
        <v>-4907.4540000000015</v>
      </c>
      <c r="E86" s="1128">
        <f t="shared" si="61"/>
        <v>-5283.8242500000015</v>
      </c>
      <c r="F86" s="1128">
        <f t="shared" si="61"/>
        <v>-5660.1945000000014</v>
      </c>
      <c r="G86" s="1128">
        <f t="shared" si="61"/>
        <v>-6036.5647500000014</v>
      </c>
      <c r="H86" s="1128">
        <f t="shared" si="61"/>
        <v>-6412.9350000000013</v>
      </c>
      <c r="I86" s="1128">
        <f t="shared" si="61"/>
        <v>-6789.3052500000013</v>
      </c>
      <c r="J86" s="1128">
        <f t="shared" si="61"/>
        <v>-7165.6755000000012</v>
      </c>
      <c r="K86" s="1128">
        <f t="shared" si="61"/>
        <v>-7542.0457500000011</v>
      </c>
      <c r="L86" s="1128">
        <f t="shared" si="61"/>
        <v>-7918.4160000000011</v>
      </c>
      <c r="M86" s="1128">
        <f t="shared" si="61"/>
        <v>-8294.786250000001</v>
      </c>
      <c r="N86" s="1128">
        <f t="shared" si="61"/>
        <v>-8671.156500000001</v>
      </c>
      <c r="O86" s="671"/>
    </row>
    <row r="87" spans="1:29" ht="16.5" thickBot="1" x14ac:dyDescent="0.3">
      <c r="A87" s="1427" t="s">
        <v>308</v>
      </c>
      <c r="B87" s="1428" t="s">
        <v>303</v>
      </c>
      <c r="C87" s="1429"/>
      <c r="D87" s="1430">
        <f t="shared" ref="D87:N87" si="62">+D85+D86</f>
        <v>9821.1410337879424</v>
      </c>
      <c r="E87" s="1430">
        <f t="shared" si="62"/>
        <v>9796.4821406589326</v>
      </c>
      <c r="F87" s="1430">
        <f t="shared" si="62"/>
        <v>9774.3153492246784</v>
      </c>
      <c r="G87" s="1430">
        <f t="shared" si="62"/>
        <v>9720.4678247450647</v>
      </c>
      <c r="H87" s="1430">
        <f t="shared" si="62"/>
        <v>9666.0219894993043</v>
      </c>
      <c r="I87" s="1430">
        <f t="shared" si="62"/>
        <v>9610.7297286521789</v>
      </c>
      <c r="J87" s="1430">
        <f t="shared" si="62"/>
        <v>9554.3199920806328</v>
      </c>
      <c r="K87" s="1430">
        <f t="shared" si="62"/>
        <v>9496.4968984506886</v>
      </c>
      <c r="L87" s="1430">
        <f t="shared" si="62"/>
        <v>9436.9376718716558</v>
      </c>
      <c r="M87" s="1430">
        <f t="shared" si="62"/>
        <v>9375.2903975715562</v>
      </c>
      <c r="N87" s="1430">
        <f t="shared" si="62"/>
        <v>9311.1715818149278</v>
      </c>
      <c r="O87" s="671"/>
    </row>
    <row r="88" spans="1:29" ht="16.5" thickBot="1" x14ac:dyDescent="0.3"/>
    <row r="89" spans="1:29" x14ac:dyDescent="0.25">
      <c r="A89" s="1304"/>
      <c r="B89" s="1304" t="s">
        <v>309</v>
      </c>
      <c r="C89" s="1304"/>
      <c r="D89" s="1046">
        <v>0</v>
      </c>
      <c r="E89" s="1046">
        <v>1</v>
      </c>
      <c r="F89" s="1046">
        <f t="shared" ref="F89:N89" si="63">E89+1</f>
        <v>2</v>
      </c>
      <c r="G89" s="1046">
        <f t="shared" si="63"/>
        <v>3</v>
      </c>
      <c r="H89" s="1046">
        <f t="shared" si="63"/>
        <v>4</v>
      </c>
      <c r="I89" s="1046">
        <f t="shared" si="63"/>
        <v>5</v>
      </c>
      <c r="J89" s="1046">
        <f t="shared" si="63"/>
        <v>6</v>
      </c>
      <c r="K89" s="1046">
        <f t="shared" si="63"/>
        <v>7</v>
      </c>
      <c r="L89" s="1046">
        <f t="shared" si="63"/>
        <v>8</v>
      </c>
      <c r="M89" s="1046">
        <f t="shared" si="63"/>
        <v>9</v>
      </c>
      <c r="N89" s="1046">
        <f t="shared" si="63"/>
        <v>10</v>
      </c>
      <c r="O89" s="1046">
        <f>N89+1</f>
        <v>11</v>
      </c>
      <c r="P89" s="1046">
        <f t="shared" ref="P89:AB89" si="64">O89+1</f>
        <v>12</v>
      </c>
      <c r="Q89" s="1046">
        <f t="shared" si="64"/>
        <v>13</v>
      </c>
      <c r="R89" s="1046">
        <f t="shared" si="64"/>
        <v>14</v>
      </c>
      <c r="S89" s="1046">
        <f t="shared" si="64"/>
        <v>15</v>
      </c>
      <c r="T89" s="1046">
        <f t="shared" si="64"/>
        <v>16</v>
      </c>
      <c r="U89" s="1046">
        <f t="shared" si="64"/>
        <v>17</v>
      </c>
      <c r="V89" s="1046">
        <f t="shared" si="64"/>
        <v>18</v>
      </c>
      <c r="W89" s="1046">
        <f t="shared" si="64"/>
        <v>19</v>
      </c>
      <c r="X89" s="1046">
        <f t="shared" si="64"/>
        <v>20</v>
      </c>
      <c r="Y89" s="1046">
        <f t="shared" si="64"/>
        <v>21</v>
      </c>
      <c r="Z89" s="1046">
        <f t="shared" si="64"/>
        <v>22</v>
      </c>
      <c r="AA89" s="1046">
        <f t="shared" si="64"/>
        <v>23</v>
      </c>
      <c r="AB89" s="1046">
        <f t="shared" si="64"/>
        <v>24</v>
      </c>
    </row>
    <row r="90" spans="1:29" x14ac:dyDescent="0.25">
      <c r="A90" s="1304"/>
      <c r="B90" s="1304" t="s">
        <v>310</v>
      </c>
      <c r="C90" s="1304"/>
      <c r="D90" s="1431">
        <f t="shared" ref="D90:AB90" si="65">+D64</f>
        <v>0</v>
      </c>
      <c r="E90" s="1421">
        <f t="shared" si="65"/>
        <v>1327.908772312501</v>
      </c>
      <c r="F90" s="1421">
        <f t="shared" si="65"/>
        <v>1359.5146718125006</v>
      </c>
      <c r="G90" s="1421">
        <f t="shared" si="65"/>
        <v>1391.3444195962511</v>
      </c>
      <c r="H90" s="1421">
        <f t="shared" si="65"/>
        <v>1423.4002541465882</v>
      </c>
      <c r="I90" s="1421">
        <f t="shared" si="65"/>
        <v>1455.6844363311789</v>
      </c>
      <c r="J90" s="1421">
        <f t="shared" si="65"/>
        <v>1488.1992496263654</v>
      </c>
      <c r="K90" s="1421">
        <f t="shared" si="65"/>
        <v>1520.9470003432543</v>
      </c>
      <c r="L90" s="1421">
        <f t="shared" si="65"/>
        <v>1553.930017856062</v>
      </c>
      <c r="M90" s="1421">
        <f t="shared" si="65"/>
        <v>1587.1506548327475</v>
      </c>
      <c r="N90" s="1421">
        <f t="shared" si="65"/>
        <v>1620.6112874679498</v>
      </c>
      <c r="O90" s="1421">
        <f t="shared" si="65"/>
        <v>1649.463779717629</v>
      </c>
      <c r="P90" s="1421">
        <f t="shared" si="65"/>
        <v>1678.6047968898065</v>
      </c>
      <c r="Q90" s="1421">
        <f t="shared" si="65"/>
        <v>1708.0372242337044</v>
      </c>
      <c r="R90" s="1421">
        <f t="shared" si="65"/>
        <v>1737.7639758510409</v>
      </c>
      <c r="S90" s="1421">
        <f t="shared" si="65"/>
        <v>1767.7879949845524</v>
      </c>
      <c r="T90" s="1421">
        <f t="shared" si="65"/>
        <v>1798.1122543093977</v>
      </c>
      <c r="U90" s="1421">
        <f t="shared" si="65"/>
        <v>1828.7397562274909</v>
      </c>
      <c r="V90" s="1421">
        <f t="shared" si="65"/>
        <v>1859.673533164766</v>
      </c>
      <c r="W90" s="1421">
        <f t="shared" si="65"/>
        <v>1890.9166478714137</v>
      </c>
      <c r="X90" s="1421">
        <f t="shared" si="65"/>
        <v>1922.4721937251284</v>
      </c>
      <c r="Y90" s="1421">
        <f t="shared" si="65"/>
        <v>1954.3432950373797</v>
      </c>
      <c r="Z90" s="1421">
        <f t="shared" si="65"/>
        <v>1986.533107362754</v>
      </c>
      <c r="AA90" s="1421">
        <f t="shared" si="65"/>
        <v>2019.0448178113775</v>
      </c>
      <c r="AB90" s="1421">
        <f t="shared" si="65"/>
        <v>2051.8816453644918</v>
      </c>
    </row>
    <row r="91" spans="1:29" x14ac:dyDescent="0.25">
      <c r="A91" s="1304"/>
      <c r="B91" s="1304" t="s">
        <v>311</v>
      </c>
      <c r="C91" s="1304"/>
      <c r="D91" s="1422"/>
      <c r="E91" s="1422">
        <f t="shared" ref="E91:AB91" si="66">+E41</f>
        <v>0.10788933330253273</v>
      </c>
      <c r="F91" s="1422">
        <f t="shared" si="66"/>
        <v>0.10762306642319552</v>
      </c>
      <c r="G91" s="1422">
        <f t="shared" si="66"/>
        <v>0.10736920281157128</v>
      </c>
      <c r="H91" s="1422">
        <f t="shared" si="66"/>
        <v>0.10712701838534326</v>
      </c>
      <c r="I91" s="1422">
        <f t="shared" si="66"/>
        <v>0.10689584467358142</v>
      </c>
      <c r="J91" s="1422">
        <f t="shared" si="66"/>
        <v>0.10667506362254184</v>
      </c>
      <c r="K91" s="1422">
        <f t="shared" si="66"/>
        <v>0.1064641029733706</v>
      </c>
      <c r="L91" s="1422">
        <f t="shared" si="66"/>
        <v>0.10626243213934058</v>
      </c>
      <c r="M91" s="1422">
        <f t="shared" si="66"/>
        <v>0.10606955852052076</v>
      </c>
      <c r="N91" s="1422">
        <f t="shared" si="66"/>
        <v>0.10588502420243995</v>
      </c>
      <c r="O91" s="1422">
        <f t="shared" si="66"/>
        <v>0.1057084029926334</v>
      </c>
      <c r="P91" s="1422">
        <f t="shared" si="66"/>
        <v>0.10553929775517974</v>
      </c>
      <c r="Q91" s="1422">
        <f t="shared" si="66"/>
        <v>0.10537733800862675</v>
      </c>
      <c r="R91" s="1422">
        <f t="shared" si="66"/>
        <v>0.10537733800862675</v>
      </c>
      <c r="S91" s="1422">
        <f t="shared" si="66"/>
        <v>0.10537733800862675</v>
      </c>
      <c r="T91" s="1422">
        <f t="shared" si="66"/>
        <v>0.10537733800862675</v>
      </c>
      <c r="U91" s="1422">
        <f t="shared" si="66"/>
        <v>0.10537733800862675</v>
      </c>
      <c r="V91" s="1422">
        <f t="shared" si="66"/>
        <v>0.10537733800862675</v>
      </c>
      <c r="W91" s="1422">
        <f t="shared" si="66"/>
        <v>0.10537733800862675</v>
      </c>
      <c r="X91" s="1422">
        <f t="shared" si="66"/>
        <v>0.10537733800862675</v>
      </c>
      <c r="Y91" s="1422">
        <f t="shared" si="66"/>
        <v>0.10537733800862675</v>
      </c>
      <c r="Z91" s="1422">
        <f t="shared" si="66"/>
        <v>0.10537733800862675</v>
      </c>
      <c r="AA91" s="1422">
        <f t="shared" si="66"/>
        <v>0.10537733800862675</v>
      </c>
      <c r="AB91" s="1422">
        <f t="shared" si="66"/>
        <v>0</v>
      </c>
      <c r="AC91" s="1422"/>
    </row>
    <row r="92" spans="1:29" x14ac:dyDescent="0.25">
      <c r="A92" s="1304"/>
      <c r="B92" s="1304" t="s">
        <v>312</v>
      </c>
      <c r="C92" s="1304"/>
      <c r="D92" s="1421">
        <f>1/(1+D91)^D89</f>
        <v>1</v>
      </c>
      <c r="E92" s="1423">
        <f>+D92/(1+E91)</f>
        <v>0.90261722894206142</v>
      </c>
      <c r="F92" s="1423">
        <f>+E92/(1+F91)</f>
        <v>0.81491371596011297</v>
      </c>
      <c r="G92" s="1423">
        <f t="shared" ref="G92:AB92" si="67">+F92/(1+G91)</f>
        <v>0.73590064983844217</v>
      </c>
      <c r="H92" s="1423">
        <f t="shared" si="67"/>
        <v>0.66469396701355443</v>
      </c>
      <c r="I92" s="1423">
        <f t="shared" si="67"/>
        <v>0.60050272138257921</v>
      </c>
      <c r="J92" s="1423">
        <f t="shared" si="67"/>
        <v>0.54261882382794446</v>
      </c>
      <c r="K92" s="1423">
        <f t="shared" si="67"/>
        <v>0.49040797832462868</v>
      </c>
      <c r="L92" s="1423">
        <f t="shared" si="67"/>
        <v>0.44330166520818703</v>
      </c>
      <c r="M92" s="1423">
        <f t="shared" si="67"/>
        <v>0.40079004235605908</v>
      </c>
      <c r="N92" s="1423">
        <f t="shared" si="67"/>
        <v>0.36241565224658628</v>
      </c>
      <c r="O92" s="1423">
        <f t="shared" si="67"/>
        <v>0.32776783758330613</v>
      </c>
      <c r="P92" s="1423">
        <f t="shared" si="67"/>
        <v>0.29647778079788345</v>
      </c>
      <c r="Q92" s="1423">
        <f t="shared" si="67"/>
        <v>0.26821409359811721</v>
      </c>
      <c r="R92" s="1423">
        <f t="shared" si="67"/>
        <v>0.24264482758558598</v>
      </c>
      <c r="S92" s="1423">
        <f t="shared" si="67"/>
        <v>0.21951311940474422</v>
      </c>
      <c r="T92" s="1423">
        <f t="shared" si="67"/>
        <v>0.19858659288257552</v>
      </c>
      <c r="U92" s="1423">
        <f t="shared" si="67"/>
        <v>0.17965502462745955</v>
      </c>
      <c r="V92" s="1423">
        <f t="shared" si="67"/>
        <v>0.16252823217012385</v>
      </c>
      <c r="W92" s="1423">
        <f t="shared" si="67"/>
        <v>0.1470341634313978</v>
      </c>
      <c r="X92" s="1423">
        <f t="shared" si="67"/>
        <v>0.1330171683239722</v>
      </c>
      <c r="Y92" s="1423">
        <f t="shared" si="67"/>
        <v>0.12033643512504695</v>
      </c>
      <c r="Z92" s="1423">
        <f t="shared" si="67"/>
        <v>0.1088645759120021</v>
      </c>
      <c r="AA92" s="1423">
        <f t="shared" si="67"/>
        <v>9.8486346850682846E-2</v>
      </c>
      <c r="AB92" s="1423">
        <f t="shared" si="67"/>
        <v>9.8486346850682846E-2</v>
      </c>
    </row>
    <row r="93" spans="1:29" x14ac:dyDescent="0.25">
      <c r="A93" s="1304"/>
      <c r="B93" s="1304" t="s">
        <v>313</v>
      </c>
      <c r="C93" s="1304"/>
      <c r="D93" s="1421">
        <f>+D90*D92</f>
        <v>0</v>
      </c>
      <c r="E93" s="1421">
        <f>+E90*E92</f>
        <v>1198.5933363525644</v>
      </c>
      <c r="F93" s="1421">
        <f t="shared" ref="F93:AB93" si="68">+F90*F92</f>
        <v>1107.8871531090183</v>
      </c>
      <c r="G93" s="1421">
        <f t="shared" si="68"/>
        <v>1023.8912625299713</v>
      </c>
      <c r="H93" s="1421">
        <f t="shared" si="68"/>
        <v>946.12556157679728</v>
      </c>
      <c r="I93" s="1421">
        <f t="shared" si="68"/>
        <v>874.14246549113875</v>
      </c>
      <c r="J93" s="1421">
        <f t="shared" si="68"/>
        <v>807.52492645388793</v>
      </c>
      <c r="K93" s="1421">
        <f t="shared" si="68"/>
        <v>745.88454357724368</v>
      </c>
      <c r="L93" s="1421">
        <f t="shared" si="68"/>
        <v>688.85976453258013</v>
      </c>
      <c r="M93" s="1421">
        <f t="shared" si="68"/>
        <v>636.1141781758638</v>
      </c>
      <c r="N93" s="1421">
        <f t="shared" si="68"/>
        <v>587.33489678587694</v>
      </c>
      <c r="O93" s="1421">
        <f t="shared" si="68"/>
        <v>540.64117625003405</v>
      </c>
      <c r="P93" s="1421">
        <f t="shared" si="68"/>
        <v>497.66902501857174</v>
      </c>
      <c r="Q93" s="1421">
        <f t="shared" si="68"/>
        <v>458.1196559296871</v>
      </c>
      <c r="R93" s="1421">
        <f t="shared" si="68"/>
        <v>421.65944030481819</v>
      </c>
      <c r="S93" s="1421">
        <f t="shared" si="68"/>
        <v>388.05265722531743</v>
      </c>
      <c r="T93" s="1421">
        <f t="shared" si="68"/>
        <v>357.08098620371044</v>
      </c>
      <c r="U93" s="1421">
        <f t="shared" si="68"/>
        <v>328.54228594226424</v>
      </c>
      <c r="V93" s="1421">
        <f t="shared" si="68"/>
        <v>302.24945175883761</v>
      </c>
      <c r="W93" s="1421">
        <f t="shared" si="68"/>
        <v>278.02934743827632</v>
      </c>
      <c r="X93" s="1421">
        <f t="shared" si="68"/>
        <v>255.72180739089148</v>
      </c>
      <c r="Y93" s="1421">
        <f t="shared" si="68"/>
        <v>235.17870513533614</v>
      </c>
      <c r="Z93" s="1421">
        <f t="shared" si="68"/>
        <v>216.26308426819796</v>
      </c>
      <c r="AA93" s="1421">
        <f t="shared" si="68"/>
        <v>198.84834823404506</v>
      </c>
      <c r="AB93" s="1421">
        <f t="shared" si="68"/>
        <v>202.08232742191714</v>
      </c>
    </row>
    <row r="94" spans="1:29" x14ac:dyDescent="0.25">
      <c r="A94" s="1304"/>
      <c r="B94" s="1304" t="s">
        <v>314</v>
      </c>
      <c r="C94" s="1304"/>
      <c r="D94" s="1424">
        <f>+SUM(E93:N93)</f>
        <v>8616.3580885849424</v>
      </c>
      <c r="E94" s="1424">
        <f>+SUM(F93:O93)/E92</f>
        <v>8817.0330382573047</v>
      </c>
      <c r="F94" s="1424">
        <f t="shared" ref="F94:Q94" si="69">+SUM(G93:P93)/F92</f>
        <v>9017.135994250013</v>
      </c>
      <c r="G94" s="1424">
        <f t="shared" si="69"/>
        <v>9216.4834958097636</v>
      </c>
      <c r="H94" s="1424">
        <f t="shared" si="69"/>
        <v>9414.78392023993</v>
      </c>
      <c r="I94" s="1424">
        <f t="shared" si="69"/>
        <v>9611.713750380557</v>
      </c>
      <c r="J94" s="1424">
        <f t="shared" si="69"/>
        <v>9806.9143389891651</v>
      </c>
      <c r="K94" s="1424">
        <f t="shared" si="69"/>
        <v>9999.98834260898</v>
      </c>
      <c r="L94" s="1424">
        <f t="shared" si="69"/>
        <v>10190.495791333093</v>
      </c>
      <c r="M94" s="1424">
        <f t="shared" si="69"/>
        <v>10377.949757449889</v>
      </c>
      <c r="N94" s="1424">
        <f t="shared" si="69"/>
        <v>10561.81158218302</v>
      </c>
      <c r="O94" s="1424">
        <f t="shared" si="69"/>
        <v>10746.336151583131</v>
      </c>
      <c r="P94" s="1424">
        <f t="shared" si="69"/>
        <v>10931.333244857024</v>
      </c>
      <c r="Q94" s="1424">
        <f t="shared" si="69"/>
        <v>11116.590011743609</v>
      </c>
    </row>
    <row r="95" spans="1:29" ht="16.5" thickBot="1" x14ac:dyDescent="0.3">
      <c r="A95" s="1304"/>
      <c r="B95" s="1304" t="s">
        <v>315</v>
      </c>
      <c r="C95" s="1304"/>
      <c r="D95" s="1424">
        <f>+O90/(O91-O$29)*N92</f>
        <v>6245.9666329349948</v>
      </c>
      <c r="E95" s="1424">
        <f t="shared" ref="E95:Q95" si="70">+P90/(P91-P$29)*O92/E92</f>
        <v>6380.1241845967797</v>
      </c>
      <c r="F95" s="1424">
        <f t="shared" si="70"/>
        <v>6515.2735974366506</v>
      </c>
      <c r="G95" s="1424">
        <f t="shared" si="70"/>
        <v>6640.6103975789392</v>
      </c>
      <c r="H95" s="1424">
        <f t="shared" si="70"/>
        <v>6766.0356884949715</v>
      </c>
      <c r="I95" s="1424">
        <f t="shared" si="70"/>
        <v>6891.5530751281958</v>
      </c>
      <c r="J95" s="1424">
        <f t="shared" si="70"/>
        <v>7017.1664524830512</v>
      </c>
      <c r="K95" s="1424">
        <f t="shared" si="70"/>
        <v>7142.8800044264171</v>
      </c>
      <c r="L95" s="1424">
        <f t="shared" si="70"/>
        <v>7268.6982022609491</v>
      </c>
      <c r="M95" s="1424">
        <f t="shared" si="70"/>
        <v>7394.6258031341913</v>
      </c>
      <c r="N95" s="1424">
        <f t="shared" si="70"/>
        <v>7520.6678483363648</v>
      </c>
      <c r="O95" s="1424">
        <f t="shared" si="70"/>
        <v>7646.8296615303734</v>
      </c>
      <c r="P95" s="1424">
        <f t="shared" si="70"/>
        <v>7773.1168469494705</v>
      </c>
      <c r="Q95" s="1424">
        <f t="shared" si="70"/>
        <v>-75343.664723566078</v>
      </c>
    </row>
    <row r="96" spans="1:29" ht="16.5" thickBot="1" x14ac:dyDescent="0.3">
      <c r="A96" s="671"/>
      <c r="B96" s="1147" t="s">
        <v>300</v>
      </c>
      <c r="C96" s="1148"/>
      <c r="D96" s="1426">
        <f>+D94+D95</f>
        <v>14862.324721519937</v>
      </c>
      <c r="E96" s="1426">
        <f t="shared" ref="E96:Q96" si="71">+E94+E95</f>
        <v>15197.157222854084</v>
      </c>
      <c r="F96" s="1426">
        <f t="shared" si="71"/>
        <v>15532.409591686664</v>
      </c>
      <c r="G96" s="1426">
        <f t="shared" si="71"/>
        <v>15857.093893388703</v>
      </c>
      <c r="H96" s="1426">
        <f t="shared" si="71"/>
        <v>16180.819608734902</v>
      </c>
      <c r="I96" s="1426">
        <f t="shared" si="71"/>
        <v>16503.266825508752</v>
      </c>
      <c r="J96" s="1426">
        <f t="shared" si="71"/>
        <v>16824.080791472217</v>
      </c>
      <c r="K96" s="1426">
        <f t="shared" si="71"/>
        <v>17142.868347035397</v>
      </c>
      <c r="L96" s="1426">
        <f t="shared" si="71"/>
        <v>17459.193993594043</v>
      </c>
      <c r="M96" s="1426">
        <f t="shared" si="71"/>
        <v>17772.575560584082</v>
      </c>
      <c r="N96" s="1426">
        <f t="shared" si="71"/>
        <v>18082.479430519386</v>
      </c>
      <c r="O96" s="1426">
        <f t="shared" si="71"/>
        <v>18393.165813113505</v>
      </c>
      <c r="P96" s="1426">
        <f t="shared" si="71"/>
        <v>18704.450091806495</v>
      </c>
      <c r="Q96" s="1426">
        <f t="shared" si="71"/>
        <v>-64227.074711822468</v>
      </c>
    </row>
    <row r="97" spans="1:29" ht="16.5" thickBot="1" x14ac:dyDescent="0.3">
      <c r="A97" s="671"/>
      <c r="B97" s="1304" t="s">
        <v>301</v>
      </c>
      <c r="C97" s="768"/>
      <c r="D97" s="1128">
        <f t="shared" ref="D97:Q97" si="72">-D14</f>
        <v>-4907.4540000000015</v>
      </c>
      <c r="E97" s="1128">
        <f t="shared" si="72"/>
        <v>-5283.8242500000015</v>
      </c>
      <c r="F97" s="1128">
        <f t="shared" si="72"/>
        <v>-5660.1945000000014</v>
      </c>
      <c r="G97" s="1128">
        <f t="shared" si="72"/>
        <v>-6036.5647500000014</v>
      </c>
      <c r="H97" s="1128">
        <f t="shared" si="72"/>
        <v>-6412.9350000000013</v>
      </c>
      <c r="I97" s="1128">
        <f t="shared" si="72"/>
        <v>-6789.3052500000013</v>
      </c>
      <c r="J97" s="1128">
        <f t="shared" si="72"/>
        <v>-7165.6755000000012</v>
      </c>
      <c r="K97" s="1128">
        <f t="shared" si="72"/>
        <v>-7542.0457500000011</v>
      </c>
      <c r="L97" s="1128">
        <f t="shared" si="72"/>
        <v>-7918.4160000000011</v>
      </c>
      <c r="M97" s="1128">
        <f t="shared" si="72"/>
        <v>-8294.786250000001</v>
      </c>
      <c r="N97" s="1128">
        <f t="shared" si="72"/>
        <v>-8671.156500000001</v>
      </c>
      <c r="O97" s="1128">
        <f t="shared" si="72"/>
        <v>-9047.5267500000009</v>
      </c>
      <c r="P97" s="1128">
        <f t="shared" si="72"/>
        <v>-9423.8970000000008</v>
      </c>
      <c r="Q97" s="1128">
        <f t="shared" si="72"/>
        <v>-9800.2672500000008</v>
      </c>
    </row>
    <row r="98" spans="1:29" ht="16.5" thickBot="1" x14ac:dyDescent="0.3">
      <c r="A98" s="1427" t="s">
        <v>316</v>
      </c>
      <c r="B98" s="1428" t="s">
        <v>303</v>
      </c>
      <c r="C98" s="1429"/>
      <c r="D98" s="1430">
        <f t="shared" ref="D98:Q98" si="73">+D96+D97</f>
        <v>9954.8707215199356</v>
      </c>
      <c r="E98" s="1430">
        <f t="shared" si="73"/>
        <v>9913.332972854083</v>
      </c>
      <c r="F98" s="1430">
        <f t="shared" si="73"/>
        <v>9872.2150916866631</v>
      </c>
      <c r="G98" s="1430">
        <f t="shared" si="73"/>
        <v>9820.5291433887014</v>
      </c>
      <c r="H98" s="1430">
        <f t="shared" si="73"/>
        <v>9767.8846087349011</v>
      </c>
      <c r="I98" s="1430">
        <f t="shared" si="73"/>
        <v>9713.9615755087507</v>
      </c>
      <c r="J98" s="1430">
        <f t="shared" si="73"/>
        <v>9658.405291472216</v>
      </c>
      <c r="K98" s="1430">
        <f t="shared" si="73"/>
        <v>9600.822597035396</v>
      </c>
      <c r="L98" s="1430">
        <f t="shared" si="73"/>
        <v>9540.7779935940416</v>
      </c>
      <c r="M98" s="1430">
        <f t="shared" si="73"/>
        <v>9477.7893105840812</v>
      </c>
      <c r="N98" s="1430">
        <f t="shared" si="73"/>
        <v>9411.3229305193854</v>
      </c>
      <c r="O98" s="1430">
        <f t="shared" si="73"/>
        <v>9345.6390631135037</v>
      </c>
      <c r="P98" s="1430">
        <f t="shared" si="73"/>
        <v>9280.5530918064942</v>
      </c>
      <c r="Q98" s="1430">
        <f t="shared" si="73"/>
        <v>-74027.341961822473</v>
      </c>
    </row>
    <row r="99" spans="1:29" ht="16.5" thickBot="1" x14ac:dyDescent="0.3"/>
    <row r="100" spans="1:29" x14ac:dyDescent="0.25">
      <c r="A100" s="1304"/>
      <c r="B100" s="1304" t="s">
        <v>317</v>
      </c>
      <c r="C100" s="1304"/>
      <c r="D100" s="1046">
        <v>0</v>
      </c>
      <c r="E100" s="1046">
        <v>1</v>
      </c>
      <c r="F100" s="1046">
        <f t="shared" ref="F100:N100" si="74">E100+1</f>
        <v>2</v>
      </c>
      <c r="G100" s="1046">
        <f t="shared" si="74"/>
        <v>3</v>
      </c>
      <c r="H100" s="1046">
        <f t="shared" si="74"/>
        <v>4</v>
      </c>
      <c r="I100" s="1046">
        <f t="shared" si="74"/>
        <v>5</v>
      </c>
      <c r="J100" s="1046">
        <f t="shared" si="74"/>
        <v>6</v>
      </c>
      <c r="K100" s="1046">
        <f t="shared" si="74"/>
        <v>7</v>
      </c>
      <c r="L100" s="1046">
        <f t="shared" si="74"/>
        <v>8</v>
      </c>
      <c r="M100" s="1046">
        <f t="shared" si="74"/>
        <v>9</v>
      </c>
      <c r="N100" s="1046">
        <f t="shared" si="74"/>
        <v>10</v>
      </c>
      <c r="O100" s="1046">
        <f>N100+1</f>
        <v>11</v>
      </c>
      <c r="P100" s="1046">
        <f t="shared" ref="P100:AB100" si="75">O100+1</f>
        <v>12</v>
      </c>
      <c r="Q100" s="1046">
        <f t="shared" si="75"/>
        <v>13</v>
      </c>
      <c r="R100" s="1046">
        <f t="shared" si="75"/>
        <v>14</v>
      </c>
      <c r="S100" s="1046">
        <f t="shared" si="75"/>
        <v>15</v>
      </c>
      <c r="T100" s="1046">
        <f t="shared" si="75"/>
        <v>16</v>
      </c>
      <c r="U100" s="1046">
        <f t="shared" si="75"/>
        <v>17</v>
      </c>
      <c r="V100" s="1046">
        <f t="shared" si="75"/>
        <v>18</v>
      </c>
      <c r="W100" s="1046">
        <f t="shared" si="75"/>
        <v>19</v>
      </c>
      <c r="X100" s="1046">
        <f t="shared" si="75"/>
        <v>20</v>
      </c>
      <c r="Y100" s="1046">
        <f t="shared" si="75"/>
        <v>21</v>
      </c>
      <c r="Z100" s="1046">
        <f t="shared" si="75"/>
        <v>22</v>
      </c>
      <c r="AA100" s="1046">
        <f t="shared" si="75"/>
        <v>23</v>
      </c>
      <c r="AB100" s="1046">
        <f t="shared" si="75"/>
        <v>24</v>
      </c>
    </row>
    <row r="101" spans="1:29" x14ac:dyDescent="0.25">
      <c r="A101" s="1304"/>
      <c r="B101" s="1304" t="s">
        <v>292</v>
      </c>
      <c r="C101" s="1304"/>
      <c r="D101" s="1431">
        <f t="shared" ref="D101:AB101" si="76">+D61</f>
        <v>0</v>
      </c>
      <c r="E101" s="1421">
        <f t="shared" si="76"/>
        <v>1347.5842835625008</v>
      </c>
      <c r="F101" s="1421">
        <f t="shared" si="76"/>
        <v>1352.8442655625004</v>
      </c>
      <c r="G101" s="1421">
        <f t="shared" si="76"/>
        <v>1358.328095846251</v>
      </c>
      <c r="H101" s="1421">
        <f t="shared" si="76"/>
        <v>1364.038012896588</v>
      </c>
      <c r="I101" s="1421">
        <f t="shared" si="76"/>
        <v>1369.9762775811787</v>
      </c>
      <c r="J101" s="1421">
        <f t="shared" si="76"/>
        <v>1376.1451733763652</v>
      </c>
      <c r="K101" s="1421">
        <f t="shared" si="76"/>
        <v>1382.5470065932541</v>
      </c>
      <c r="L101" s="1421">
        <f t="shared" si="76"/>
        <v>1389.184106606062</v>
      </c>
      <c r="M101" s="1421">
        <f t="shared" si="76"/>
        <v>1396.0588260827471</v>
      </c>
      <c r="N101" s="1421">
        <f t="shared" si="76"/>
        <v>1403.1735412179496</v>
      </c>
      <c r="O101" s="1421">
        <f t="shared" si="76"/>
        <v>1405.6801159676288</v>
      </c>
      <c r="P101" s="1421">
        <f t="shared" si="76"/>
        <v>1408.4752156398063</v>
      </c>
      <c r="Q101" s="1421">
        <f t="shared" si="76"/>
        <v>1411.5617254837043</v>
      </c>
      <c r="R101" s="1421">
        <f t="shared" si="76"/>
        <v>1414.9425596010406</v>
      </c>
      <c r="S101" s="1421">
        <f t="shared" si="76"/>
        <v>1418.6206612345522</v>
      </c>
      <c r="T101" s="1421">
        <f t="shared" si="76"/>
        <v>1422.5990030593975</v>
      </c>
      <c r="U101" s="1421">
        <f t="shared" si="76"/>
        <v>1426.8805874774907</v>
      </c>
      <c r="V101" s="1421">
        <f t="shared" si="76"/>
        <v>1431.468446914766</v>
      </c>
      <c r="W101" s="1421">
        <f t="shared" si="76"/>
        <v>1436.3656441214134</v>
      </c>
      <c r="X101" s="1421">
        <f t="shared" si="76"/>
        <v>1441.5752724751283</v>
      </c>
      <c r="Y101" s="1421">
        <f t="shared" si="76"/>
        <v>1447.1004562873795</v>
      </c>
      <c r="Z101" s="1421">
        <f t="shared" si="76"/>
        <v>1452.9443511127538</v>
      </c>
      <c r="AA101" s="1421">
        <f t="shared" si="76"/>
        <v>1459.1101440613775</v>
      </c>
      <c r="AB101" s="1421">
        <f t="shared" si="76"/>
        <v>1465.6010541144915</v>
      </c>
    </row>
    <row r="102" spans="1:29" x14ac:dyDescent="0.25">
      <c r="A102" s="1304"/>
      <c r="B102" s="1304" t="s">
        <v>276</v>
      </c>
      <c r="C102" s="1304"/>
      <c r="D102" s="1422">
        <f t="shared" ref="D102:AB102" si="77">+D39</f>
        <v>0.12530421706986278</v>
      </c>
      <c r="E102" s="1422">
        <f t="shared" si="77"/>
        <v>0.12635409208968568</v>
      </c>
      <c r="F102" s="1422">
        <f t="shared" si="77"/>
        <v>0.12740493309480394</v>
      </c>
      <c r="G102" s="1422">
        <f t="shared" si="77"/>
        <v>0.12845601853019453</v>
      </c>
      <c r="H102" s="1422">
        <f t="shared" si="77"/>
        <v>0.12950661188424736</v>
      </c>
      <c r="I102" s="1422">
        <f t="shared" si="77"/>
        <v>0.13055596309269735</v>
      </c>
      <c r="J102" s="1422">
        <f t="shared" si="77"/>
        <v>0.13160331003287934</v>
      </c>
      <c r="K102" s="1422">
        <f t="shared" si="77"/>
        <v>0.13264788010369372</v>
      </c>
      <c r="L102" s="1422">
        <f t="shared" si="77"/>
        <v>0.13368889188591326</v>
      </c>
      <c r="M102" s="1422">
        <f t="shared" si="77"/>
        <v>0.13472555687671839</v>
      </c>
      <c r="N102" s="1422">
        <f t="shared" si="77"/>
        <v>0.13575708129163278</v>
      </c>
      <c r="O102" s="1422">
        <f t="shared" si="77"/>
        <v>0.13678266792634675</v>
      </c>
      <c r="P102" s="1422">
        <f t="shared" si="77"/>
        <v>0.13780151807027793</v>
      </c>
      <c r="Q102" s="1422">
        <f t="shared" si="77"/>
        <v>0.13881283346312903</v>
      </c>
      <c r="R102" s="1422">
        <f t="shared" si="77"/>
        <v>0.13881283346312903</v>
      </c>
      <c r="S102" s="1422">
        <f t="shared" si="77"/>
        <v>0.13881283346312903</v>
      </c>
      <c r="T102" s="1422">
        <f t="shared" si="77"/>
        <v>0.13881283346312903</v>
      </c>
      <c r="U102" s="1422">
        <f t="shared" si="77"/>
        <v>0.13881283346312903</v>
      </c>
      <c r="V102" s="1422">
        <f t="shared" si="77"/>
        <v>0.13881283346312903</v>
      </c>
      <c r="W102" s="1422">
        <f t="shared" si="77"/>
        <v>0.13881283346312903</v>
      </c>
      <c r="X102" s="1422">
        <f t="shared" si="77"/>
        <v>0.13881283346312903</v>
      </c>
      <c r="Y102" s="1422">
        <f t="shared" si="77"/>
        <v>0.13881283346312903</v>
      </c>
      <c r="Z102" s="1422">
        <f t="shared" si="77"/>
        <v>0.13881283346312903</v>
      </c>
      <c r="AA102" s="1422">
        <f t="shared" si="77"/>
        <v>0.13881283346312903</v>
      </c>
      <c r="AB102" s="1422">
        <f t="shared" si="77"/>
        <v>0</v>
      </c>
      <c r="AC102" s="1422"/>
    </row>
    <row r="103" spans="1:29" x14ac:dyDescent="0.25">
      <c r="A103" s="1304"/>
      <c r="B103" s="1304" t="s">
        <v>318</v>
      </c>
      <c r="C103" s="1304"/>
      <c r="D103" s="1421">
        <f>1/(1+D102)^D100</f>
        <v>1</v>
      </c>
      <c r="E103" s="1423">
        <f>+D103/(1+E102)</f>
        <v>0.88782027518960283</v>
      </c>
      <c r="F103" s="1423">
        <f>+E103/(1+F102)</f>
        <v>0.78749014584535759</v>
      </c>
      <c r="G103" s="1423">
        <f t="shared" ref="G103:N103" si="78">+F103/(1+G102)</f>
        <v>0.69784744191542136</v>
      </c>
      <c r="H103" s="1423">
        <f t="shared" si="78"/>
        <v>0.61783387062362527</v>
      </c>
      <c r="I103" s="1423">
        <f t="shared" si="78"/>
        <v>0.54648676473609237</v>
      </c>
      <c r="J103" s="1423">
        <f t="shared" si="78"/>
        <v>0.48293139467771079</v>
      </c>
      <c r="K103" s="1423">
        <f t="shared" si="78"/>
        <v>0.42637381233918747</v>
      </c>
      <c r="L103" s="1423">
        <f t="shared" si="78"/>
        <v>0.3760941960275419</v>
      </c>
      <c r="M103" s="1423">
        <f t="shared" si="78"/>
        <v>0.33144066752380585</v>
      </c>
      <c r="N103" s="1423">
        <f t="shared" si="78"/>
        <v>0.2918235536307438</v>
      </c>
      <c r="O103" s="1421">
        <f t="shared" ref="O103:AB103" si="79">1/(1+O102)^O100</f>
        <v>0.24408895158243238</v>
      </c>
      <c r="P103" s="1421">
        <f t="shared" si="79"/>
        <v>0.21242317389751303</v>
      </c>
      <c r="Q103" s="1421">
        <f t="shared" si="79"/>
        <v>0.18455228033755833</v>
      </c>
      <c r="R103" s="1421">
        <f t="shared" si="79"/>
        <v>0.16205672689544157</v>
      </c>
      <c r="S103" s="1421">
        <f t="shared" si="79"/>
        <v>0.1423032144822492</v>
      </c>
      <c r="T103" s="1421">
        <f t="shared" si="79"/>
        <v>0.12495750864477455</v>
      </c>
      <c r="U103" s="1421">
        <f t="shared" si="79"/>
        <v>0.10972611562936015</v>
      </c>
      <c r="V103" s="1421">
        <f t="shared" si="79"/>
        <v>9.6351316392952011E-2</v>
      </c>
      <c r="W103" s="1421">
        <f t="shared" si="79"/>
        <v>8.4606805931355486E-2</v>
      </c>
      <c r="X103" s="1421">
        <f t="shared" si="79"/>
        <v>7.4293864141016255E-2</v>
      </c>
      <c r="Y103" s="1421">
        <f t="shared" si="79"/>
        <v>6.5237993424335283E-2</v>
      </c>
      <c r="Z103" s="1421">
        <f t="shared" si="79"/>
        <v>5.7285966145943924E-2</v>
      </c>
      <c r="AA103" s="1421">
        <f t="shared" si="79"/>
        <v>5.0303231982148762E-2</v>
      </c>
      <c r="AB103" s="1421">
        <f t="shared" si="79"/>
        <v>1</v>
      </c>
    </row>
    <row r="104" spans="1:29" x14ac:dyDescent="0.25">
      <c r="A104" s="1304"/>
      <c r="B104" s="1304" t="s">
        <v>319</v>
      </c>
      <c r="C104" s="1304"/>
      <c r="D104" s="1421">
        <f>+D101*D103</f>
        <v>0</v>
      </c>
      <c r="E104" s="1421">
        <f>+E101*E103</f>
        <v>1196.4126494736431</v>
      </c>
      <c r="F104" s="1421">
        <f t="shared" ref="F104:AB104" si="80">+F101*F103</f>
        <v>1065.351527993869</v>
      </c>
      <c r="G104" s="1421">
        <f t="shared" si="80"/>
        <v>947.90578696815157</v>
      </c>
      <c r="H104" s="1421">
        <f t="shared" si="80"/>
        <v>842.74888518565751</v>
      </c>
      <c r="I104" s="1421">
        <f t="shared" si="80"/>
        <v>748.67390370053317</v>
      </c>
      <c r="J104" s="1421">
        <f t="shared" si="80"/>
        <v>664.58370785764816</v>
      </c>
      <c r="K104" s="1421">
        <f t="shared" si="80"/>
        <v>589.48183793929752</v>
      </c>
      <c r="L104" s="1421">
        <f t="shared" si="80"/>
        <v>522.46407970824589</v>
      </c>
      <c r="M104" s="1421">
        <f t="shared" si="80"/>
        <v>462.71066921936648</v>
      </c>
      <c r="N104" s="1421">
        <f t="shared" si="80"/>
        <v>409.47908915885699</v>
      </c>
      <c r="O104" s="1421">
        <f t="shared" si="80"/>
        <v>343.11098576681047</v>
      </c>
      <c r="P104" s="1421">
        <f t="shared" si="80"/>
        <v>299.19277566219171</v>
      </c>
      <c r="Q104" s="1421">
        <f t="shared" si="80"/>
        <v>260.50693527523617</v>
      </c>
      <c r="R104" s="1421">
        <f t="shared" si="80"/>
        <v>229.30095995400288</v>
      </c>
      <c r="S104" s="1421">
        <f t="shared" si="80"/>
        <v>201.87428022461066</v>
      </c>
      <c r="T104" s="1421">
        <f t="shared" si="80"/>
        <v>177.76442722284233</v>
      </c>
      <c r="U104" s="1421">
        <f t="shared" si="80"/>
        <v>156.56606433084448</v>
      </c>
      <c r="V104" s="1421">
        <f t="shared" si="80"/>
        <v>137.92386923521224</v>
      </c>
      <c r="W104" s="1421">
        <f t="shared" si="80"/>
        <v>121.52630929864685</v>
      </c>
      <c r="X104" s="1421">
        <f t="shared" si="80"/>
        <v>107.10019744231568</v>
      </c>
      <c r="Y104" s="1421">
        <f t="shared" si="80"/>
        <v>94.405930051628658</v>
      </c>
      <c r="Z104" s="1421">
        <f t="shared" si="80"/>
        <v>83.233320909785675</v>
      </c>
      <c r="AA104" s="1421">
        <f t="shared" si="80"/>
        <v>73.397956064225966</v>
      </c>
      <c r="AB104" s="1421">
        <f t="shared" si="80"/>
        <v>1465.6010541144915</v>
      </c>
    </row>
    <row r="105" spans="1:29" x14ac:dyDescent="0.25">
      <c r="A105" s="1304"/>
      <c r="B105" s="1304" t="s">
        <v>320</v>
      </c>
      <c r="C105" s="1304"/>
      <c r="D105" s="1424">
        <f>+SUM(E104:N104)</f>
        <v>7449.8121372052692</v>
      </c>
      <c r="E105" s="1424">
        <f>+SUM(F104:O104)/E103</f>
        <v>7430.0065653374349</v>
      </c>
      <c r="F105" s="1424">
        <f t="shared" ref="F105:N105" si="81">+SUM(G104:P104)/F103</f>
        <v>7403.7138774707773</v>
      </c>
      <c r="G105" s="1424">
        <f t="shared" si="81"/>
        <v>7369.7380839538382</v>
      </c>
      <c r="H105" s="1424">
        <f t="shared" si="81"/>
        <v>7331.2668010095113</v>
      </c>
      <c r="I105" s="1424">
        <f t="shared" si="81"/>
        <v>7287.8349079315431</v>
      </c>
      <c r="J105" s="1424">
        <f t="shared" si="81"/>
        <v>7238.8875079543677</v>
      </c>
      <c r="K105" s="1424">
        <f t="shared" si="81"/>
        <v>7183.7673372077643</v>
      </c>
      <c r="L105" s="1424">
        <f t="shared" si="81"/>
        <v>7121.7000537116228</v>
      </c>
      <c r="M105" s="1424">
        <f t="shared" si="81"/>
        <v>7051.7770604036741</v>
      </c>
      <c r="N105" s="1424">
        <f t="shared" si="81"/>
        <v>6972.9354573877645</v>
      </c>
      <c r="O105" s="1421"/>
    </row>
    <row r="106" spans="1:29" ht="16.5" thickBot="1" x14ac:dyDescent="0.3">
      <c r="A106" s="1304"/>
      <c r="B106" s="1304" t="s">
        <v>321</v>
      </c>
      <c r="C106" s="1304"/>
      <c r="D106" s="1424">
        <f>+O101/(O102-O$29)*D103*N103</f>
        <v>3235.5413671217084</v>
      </c>
      <c r="E106" s="1424">
        <f t="shared" ref="E106:N106" si="82">+P101/(P102-P$29)*O103/E103</f>
        <v>3029.9555678741913</v>
      </c>
      <c r="F106" s="1424">
        <f t="shared" si="82"/>
        <v>2955.9528748152652</v>
      </c>
      <c r="G106" s="1424">
        <f t="shared" si="82"/>
        <v>2904.9495956490787</v>
      </c>
      <c r="H106" s="1424">
        <f t="shared" si="82"/>
        <v>2888.7003705045781</v>
      </c>
      <c r="I106" s="1424">
        <f t="shared" si="82"/>
        <v>2875.7983404587435</v>
      </c>
      <c r="J106" s="1424">
        <f t="shared" si="82"/>
        <v>2866.1928925066336</v>
      </c>
      <c r="K106" s="1424">
        <f t="shared" si="82"/>
        <v>2859.8425838405674</v>
      </c>
      <c r="L106" s="1424">
        <f t="shared" si="82"/>
        <v>2856.7148781859469</v>
      </c>
      <c r="M106" s="1424">
        <f t="shared" si="82"/>
        <v>2856.785913551576</v>
      </c>
      <c r="N106" s="1424">
        <f t="shared" si="82"/>
        <v>2860.040299641832</v>
      </c>
      <c r="O106" s="1421"/>
    </row>
    <row r="107" spans="1:29" ht="16.5" thickBot="1" x14ac:dyDescent="0.3">
      <c r="A107" s="671"/>
      <c r="B107" s="1147" t="s">
        <v>300</v>
      </c>
      <c r="C107" s="1148"/>
      <c r="D107" s="1426">
        <f>+D105+D106</f>
        <v>10685.353504326977</v>
      </c>
      <c r="E107" s="1426">
        <f t="shared" ref="E107:N107" si="83">+E105+E106</f>
        <v>10459.962133211626</v>
      </c>
      <c r="F107" s="1426">
        <f t="shared" si="83"/>
        <v>10359.666752286043</v>
      </c>
      <c r="G107" s="1426">
        <f t="shared" si="83"/>
        <v>10274.687679602917</v>
      </c>
      <c r="H107" s="1426">
        <f t="shared" si="83"/>
        <v>10219.96717151409</v>
      </c>
      <c r="I107" s="1426">
        <f t="shared" si="83"/>
        <v>10163.633248390286</v>
      </c>
      <c r="J107" s="1426">
        <f t="shared" si="83"/>
        <v>10105.080400461002</v>
      </c>
      <c r="K107" s="1426">
        <f t="shared" si="83"/>
        <v>10043.609921048332</v>
      </c>
      <c r="L107" s="1426">
        <f t="shared" si="83"/>
        <v>9978.4149318975687</v>
      </c>
      <c r="M107" s="1426">
        <f t="shared" si="83"/>
        <v>9908.5629739552496</v>
      </c>
      <c r="N107" s="1426">
        <f t="shared" si="83"/>
        <v>9832.9757570295969</v>
      </c>
      <c r="O107" s="671"/>
    </row>
    <row r="108" spans="1:29" ht="16.5" thickBot="1" x14ac:dyDescent="0.3">
      <c r="A108" s="671"/>
      <c r="B108" s="1304" t="s">
        <v>301</v>
      </c>
      <c r="C108" s="671"/>
      <c r="D108" s="1128"/>
      <c r="E108" s="1128"/>
      <c r="F108" s="1128"/>
      <c r="G108" s="1128"/>
      <c r="H108" s="1128"/>
      <c r="I108" s="1128"/>
      <c r="J108" s="1128"/>
      <c r="K108" s="1128"/>
      <c r="L108" s="1128"/>
      <c r="M108" s="1128"/>
      <c r="N108" s="1128"/>
      <c r="O108" s="671"/>
    </row>
    <row r="109" spans="1:29" ht="16.5" thickBot="1" x14ac:dyDescent="0.3">
      <c r="A109" s="1427" t="s">
        <v>322</v>
      </c>
      <c r="B109" s="1428" t="s">
        <v>303</v>
      </c>
      <c r="C109" s="1429"/>
      <c r="D109" s="1430">
        <f t="shared" ref="D109:N109" si="84">+D107+D108</f>
        <v>10685.353504326977</v>
      </c>
      <c r="E109" s="1430">
        <f t="shared" si="84"/>
        <v>10459.962133211626</v>
      </c>
      <c r="F109" s="1430">
        <f t="shared" si="84"/>
        <v>10359.666752286043</v>
      </c>
      <c r="G109" s="1430">
        <f t="shared" si="84"/>
        <v>10274.687679602917</v>
      </c>
      <c r="H109" s="1430">
        <f t="shared" si="84"/>
        <v>10219.96717151409</v>
      </c>
      <c r="I109" s="1430">
        <f t="shared" si="84"/>
        <v>10163.633248390286</v>
      </c>
      <c r="J109" s="1430">
        <f t="shared" si="84"/>
        <v>10105.080400461002</v>
      </c>
      <c r="K109" s="1430">
        <f t="shared" si="84"/>
        <v>10043.609921048332</v>
      </c>
      <c r="L109" s="1430">
        <f t="shared" si="84"/>
        <v>9978.4149318975687</v>
      </c>
      <c r="M109" s="1430">
        <f t="shared" si="84"/>
        <v>9908.5629739552496</v>
      </c>
      <c r="N109" s="1430">
        <f t="shared" si="84"/>
        <v>9832.9757570295969</v>
      </c>
      <c r="O109" s="67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opLeftCell="A16" workbookViewId="0">
      <selection activeCell="B22" sqref="B22"/>
    </sheetView>
  </sheetViews>
  <sheetFormatPr baseColWidth="10" defaultColWidth="11.42578125" defaultRowHeight="15.75" x14ac:dyDescent="0.25"/>
  <cols>
    <col min="1" max="1" width="47.5703125" style="670" customWidth="1"/>
    <col min="2" max="2" width="11.42578125" style="670" customWidth="1"/>
    <col min="3" max="3" width="10" style="670" customWidth="1"/>
    <col min="4" max="4" width="11.5703125" style="670" bestFit="1" customWidth="1"/>
    <col min="5" max="5" width="10.7109375" style="670" customWidth="1"/>
    <col min="6" max="6" width="10.28515625" style="670" bestFit="1" customWidth="1"/>
    <col min="7" max="7" width="10.85546875" style="670" bestFit="1" customWidth="1"/>
    <col min="8" max="16384" width="11.42578125" style="671"/>
  </cols>
  <sheetData>
    <row r="1" spans="1:7" x14ac:dyDescent="0.25">
      <c r="A1" s="670" t="s">
        <v>333</v>
      </c>
    </row>
    <row r="2" spans="1:7" x14ac:dyDescent="0.25">
      <c r="A2" s="670" t="s">
        <v>363</v>
      </c>
    </row>
    <row r="3" spans="1:7" ht="16.5" thickBot="1" x14ac:dyDescent="0.3"/>
    <row r="4" spans="1:7" ht="19.5" customHeight="1" x14ac:dyDescent="0.25">
      <c r="A4" s="672">
        <v>2011</v>
      </c>
      <c r="B4" s="722" t="s">
        <v>364</v>
      </c>
      <c r="C4" s="722" t="s">
        <v>365</v>
      </c>
      <c r="D4" s="722" t="s">
        <v>365</v>
      </c>
      <c r="E4" s="722" t="s">
        <v>365</v>
      </c>
      <c r="F4" s="722" t="s">
        <v>147</v>
      </c>
      <c r="G4" s="674">
        <v>2011</v>
      </c>
    </row>
    <row r="5" spans="1:7" ht="13.5" customHeight="1" x14ac:dyDescent="0.25">
      <c r="A5" s="675" t="s">
        <v>366</v>
      </c>
      <c r="B5" s="676" t="s">
        <v>367</v>
      </c>
      <c r="C5" s="676" t="s">
        <v>368</v>
      </c>
      <c r="D5" s="676" t="s">
        <v>369</v>
      </c>
      <c r="E5" s="676" t="s">
        <v>370</v>
      </c>
      <c r="F5" s="676" t="s">
        <v>371</v>
      </c>
      <c r="G5" s="677"/>
    </row>
    <row r="6" spans="1:7" x14ac:dyDescent="0.25">
      <c r="A6" s="678" t="s">
        <v>372</v>
      </c>
      <c r="B6" s="679">
        <v>73050</v>
      </c>
      <c r="C6" s="679">
        <v>95434</v>
      </c>
      <c r="D6" s="679">
        <v>172614</v>
      </c>
      <c r="E6" s="679">
        <v>25486</v>
      </c>
      <c r="F6" s="679">
        <v>138450</v>
      </c>
      <c r="G6" s="680">
        <f>SUM(B6:F6)</f>
        <v>505034</v>
      </c>
    </row>
    <row r="7" spans="1:7" ht="19.5" customHeight="1" x14ac:dyDescent="0.25">
      <c r="A7" s="681" t="s">
        <v>373</v>
      </c>
      <c r="B7" s="679"/>
      <c r="C7" s="679"/>
      <c r="D7" s="679">
        <f>+D6*0.78</f>
        <v>134638.92000000001</v>
      </c>
      <c r="E7" s="679"/>
      <c r="F7" s="679">
        <f>+F6*0.8</f>
        <v>110760</v>
      </c>
      <c r="G7" s="680">
        <f>SUM(B7:F7)</f>
        <v>245398.92</v>
      </c>
    </row>
    <row r="8" spans="1:7" x14ac:dyDescent="0.25">
      <c r="A8" s="681" t="s">
        <v>374</v>
      </c>
      <c r="B8" s="679">
        <f>+B6*0.05</f>
        <v>3652.5</v>
      </c>
      <c r="C8" s="679"/>
      <c r="D8" s="679"/>
      <c r="E8" s="679">
        <f>+E6*0.6</f>
        <v>15291.599999999999</v>
      </c>
      <c r="F8" s="679"/>
      <c r="G8" s="680">
        <f>SUM(B8:F8)</f>
        <v>18944.099999999999</v>
      </c>
    </row>
    <row r="9" spans="1:7" ht="16.5" thickBot="1" x14ac:dyDescent="0.3">
      <c r="A9" s="682" t="s">
        <v>375</v>
      </c>
      <c r="B9" s="683">
        <f t="shared" ref="B9:G9" si="0">+B6-B7-B8</f>
        <v>69397.5</v>
      </c>
      <c r="C9" s="683">
        <f t="shared" si="0"/>
        <v>95434</v>
      </c>
      <c r="D9" s="683">
        <f t="shared" si="0"/>
        <v>37975.079999999987</v>
      </c>
      <c r="E9" s="683">
        <f t="shared" si="0"/>
        <v>10194.400000000001</v>
      </c>
      <c r="F9" s="683">
        <f t="shared" si="0"/>
        <v>27690</v>
      </c>
      <c r="G9" s="684">
        <f t="shared" si="0"/>
        <v>240690.97999999998</v>
      </c>
    </row>
    <row r="10" spans="1:7" ht="16.5" thickBot="1" x14ac:dyDescent="0.3"/>
    <row r="11" spans="1:7" x14ac:dyDescent="0.25">
      <c r="A11" s="672" t="s">
        <v>376</v>
      </c>
      <c r="B11" s="673" t="s">
        <v>364</v>
      </c>
      <c r="C11" s="673" t="s">
        <v>365</v>
      </c>
      <c r="D11" s="673" t="s">
        <v>365</v>
      </c>
      <c r="E11" s="673" t="s">
        <v>365</v>
      </c>
      <c r="F11" s="673" t="s">
        <v>147</v>
      </c>
      <c r="G11" s="674">
        <v>2012</v>
      </c>
    </row>
    <row r="12" spans="1:7" ht="15.75" customHeight="1" x14ac:dyDescent="0.25">
      <c r="A12" s="675" t="s">
        <v>366</v>
      </c>
      <c r="B12" s="676" t="s">
        <v>367</v>
      </c>
      <c r="C12" s="676" t="s">
        <v>368</v>
      </c>
      <c r="D12" s="676" t="s">
        <v>369</v>
      </c>
      <c r="E12" s="676" t="s">
        <v>370</v>
      </c>
      <c r="F12" s="676" t="s">
        <v>371</v>
      </c>
      <c r="G12" s="677"/>
    </row>
    <row r="13" spans="1:7" x14ac:dyDescent="0.25">
      <c r="A13" s="678" t="s">
        <v>372</v>
      </c>
      <c r="B13" s="679">
        <v>0</v>
      </c>
      <c r="C13" s="685">
        <v>85466</v>
      </c>
      <c r="D13" s="685">
        <v>160523</v>
      </c>
      <c r="E13" s="685">
        <v>23785</v>
      </c>
      <c r="F13" s="685">
        <v>93524</v>
      </c>
      <c r="G13" s="686">
        <f>SUM(B13:F13)</f>
        <v>363298</v>
      </c>
    </row>
    <row r="14" spans="1:7" ht="21.75" customHeight="1" x14ac:dyDescent="0.25">
      <c r="A14" s="681" t="s">
        <v>373</v>
      </c>
      <c r="B14" s="685"/>
      <c r="C14" s="685"/>
      <c r="D14" s="679">
        <f>+D13*0.78</f>
        <v>125207.94</v>
      </c>
      <c r="E14" s="679"/>
      <c r="F14" s="679">
        <f>+F13*0.8</f>
        <v>74819.199999999997</v>
      </c>
      <c r="G14" s="686">
        <f>SUM(B14:F14)</f>
        <v>200027.14</v>
      </c>
    </row>
    <row r="15" spans="1:7" x14ac:dyDescent="0.25">
      <c r="A15" s="681" t="s">
        <v>374</v>
      </c>
      <c r="B15" s="679">
        <f>+B13*0.05</f>
        <v>0</v>
      </c>
      <c r="C15" s="685"/>
      <c r="D15" s="685"/>
      <c r="E15" s="685">
        <f>+E13*0.6</f>
        <v>14271</v>
      </c>
      <c r="F15" s="685"/>
      <c r="G15" s="686">
        <f>SUM(B15:F15)</f>
        <v>14271</v>
      </c>
    </row>
    <row r="16" spans="1:7" x14ac:dyDescent="0.25">
      <c r="A16" s="678" t="s">
        <v>375</v>
      </c>
      <c r="B16" s="687">
        <f t="shared" ref="B16:G16" si="1">+B13-B14-B15</f>
        <v>0</v>
      </c>
      <c r="C16" s="687">
        <f t="shared" si="1"/>
        <v>85466</v>
      </c>
      <c r="D16" s="687">
        <f t="shared" si="1"/>
        <v>35315.06</v>
      </c>
      <c r="E16" s="687">
        <f t="shared" si="1"/>
        <v>9514</v>
      </c>
      <c r="F16" s="687">
        <f t="shared" si="1"/>
        <v>18704.800000000003</v>
      </c>
      <c r="G16" s="688">
        <f t="shared" si="1"/>
        <v>148999.85999999999</v>
      </c>
    </row>
    <row r="17" spans="1:7" ht="16.5" thickBot="1" x14ac:dyDescent="0.3">
      <c r="A17" s="689"/>
      <c r="B17" s="690"/>
      <c r="C17" s="690"/>
      <c r="D17" s="690"/>
      <c r="E17" s="690"/>
      <c r="F17" s="690"/>
      <c r="G17" s="691"/>
    </row>
    <row r="18" spans="1:7" ht="16.5" thickBot="1" x14ac:dyDescent="0.3">
      <c r="A18" s="723" t="s">
        <v>838</v>
      </c>
      <c r="B18" s="724">
        <f>-(B6-B13)/B6</f>
        <v>-1</v>
      </c>
      <c r="C18" s="724">
        <f t="shared" ref="C18:G18" si="2">-(C6-C13)/C6</f>
        <v>-0.10444914810235346</v>
      </c>
      <c r="D18" s="724">
        <f t="shared" si="2"/>
        <v>-7.0046462048269545E-2</v>
      </c>
      <c r="E18" s="724">
        <f t="shared" si="2"/>
        <v>-6.6742525308012238E-2</v>
      </c>
      <c r="F18" s="724">
        <f t="shared" si="2"/>
        <v>-0.32449259660527269</v>
      </c>
      <c r="G18" s="724">
        <f t="shared" si="2"/>
        <v>-0.28064645152603584</v>
      </c>
    </row>
    <row r="19" spans="1:7" ht="16.5" thickBot="1" x14ac:dyDescent="0.3"/>
    <row r="20" spans="1:7" ht="16.5" thickBot="1" x14ac:dyDescent="0.3">
      <c r="A20" s="692" t="s">
        <v>377</v>
      </c>
      <c r="B20" s="693">
        <f t="shared" ref="B20:G20" si="3">+B16-B9</f>
        <v>-69397.5</v>
      </c>
      <c r="C20" s="693">
        <f t="shared" si="3"/>
        <v>-9968</v>
      </c>
      <c r="D20" s="693">
        <f t="shared" si="3"/>
        <v>-2660.0199999999895</v>
      </c>
      <c r="E20" s="693">
        <f t="shared" si="3"/>
        <v>-680.40000000000146</v>
      </c>
      <c r="F20" s="693">
        <f t="shared" si="3"/>
        <v>-8985.1999999999971</v>
      </c>
      <c r="G20" s="694">
        <f t="shared" si="3"/>
        <v>-91691.12</v>
      </c>
    </row>
    <row r="21" spans="1:7" ht="16.5" thickBot="1" x14ac:dyDescent="0.3">
      <c r="A21" s="692" t="s">
        <v>378</v>
      </c>
      <c r="B21" s="695"/>
      <c r="C21" s="693"/>
      <c r="D21" s="693">
        <f>-D13*0.07</f>
        <v>-11236.61</v>
      </c>
      <c r="E21" s="693"/>
      <c r="F21" s="693">
        <f>-F13*0.05</f>
        <v>-4676.2</v>
      </c>
      <c r="G21" s="694">
        <f>+F21+D21</f>
        <v>-15912.810000000001</v>
      </c>
    </row>
    <row r="22" spans="1:7" ht="16.5" thickBot="1" x14ac:dyDescent="0.3">
      <c r="G22" s="696">
        <f>+G20+G21</f>
        <v>-107603.93</v>
      </c>
    </row>
    <row r="23" spans="1:7" x14ac:dyDescent="0.25">
      <c r="A23" s="697" t="s">
        <v>340</v>
      </c>
      <c r="B23" s="698">
        <v>2012</v>
      </c>
      <c r="C23" s="698">
        <f>+B23+1</f>
        <v>2013</v>
      </c>
      <c r="D23" s="698">
        <f>+C23+1</f>
        <v>2014</v>
      </c>
      <c r="E23" s="698">
        <f>+D23+1</f>
        <v>2015</v>
      </c>
      <c r="F23" s="698">
        <f>+E23+1</f>
        <v>2016</v>
      </c>
      <c r="G23" s="698" t="s">
        <v>341</v>
      </c>
    </row>
    <row r="24" spans="1:7" ht="16.5" thickBot="1" x14ac:dyDescent="0.3">
      <c r="A24" s="670" t="s">
        <v>256</v>
      </c>
      <c r="B24" s="699">
        <v>0.02</v>
      </c>
      <c r="C24" s="699">
        <v>0.02</v>
      </c>
      <c r="D24" s="699">
        <v>0.02</v>
      </c>
      <c r="E24" s="699">
        <v>0.02</v>
      </c>
      <c r="F24" s="699">
        <v>0.02</v>
      </c>
      <c r="G24" s="699">
        <v>0.02</v>
      </c>
    </row>
    <row r="25" spans="1:7" x14ac:dyDescent="0.25">
      <c r="A25" s="700"/>
      <c r="B25" s="698">
        <v>2012</v>
      </c>
      <c r="C25" s="698">
        <f>+B25+1</f>
        <v>2013</v>
      </c>
      <c r="D25" s="698">
        <f>+C25+1</f>
        <v>2014</v>
      </c>
      <c r="E25" s="698">
        <f>+D25+1</f>
        <v>2015</v>
      </c>
      <c r="F25" s="698">
        <f>+E25+1</f>
        <v>2016</v>
      </c>
      <c r="G25" s="698" t="s">
        <v>341</v>
      </c>
    </row>
    <row r="26" spans="1:7" x14ac:dyDescent="0.25">
      <c r="A26" s="296" t="s">
        <v>379</v>
      </c>
      <c r="B26" s="701">
        <f>-G20</f>
        <v>91691.12</v>
      </c>
      <c r="C26" s="701">
        <f>+B26*(1+C$24)</f>
        <v>93524.9424</v>
      </c>
      <c r="D26" s="701">
        <f>+C26*(1+D24)</f>
        <v>95395.441248000003</v>
      </c>
      <c r="E26" s="701">
        <f>+D26*(1+E24)</f>
        <v>97303.350072960005</v>
      </c>
      <c r="F26" s="701">
        <f>+E26*(1+F24)</f>
        <v>99249.417074419209</v>
      </c>
      <c r="G26" s="701">
        <f>+F26/(B37-G24)</f>
        <v>1167640.2008755202</v>
      </c>
    </row>
    <row r="27" spans="1:7" x14ac:dyDescent="0.25">
      <c r="A27" s="296" t="s">
        <v>380</v>
      </c>
      <c r="B27" s="702">
        <v>1</v>
      </c>
      <c r="C27" s="702">
        <v>0.8</v>
      </c>
      <c r="D27" s="702">
        <v>0.6</v>
      </c>
      <c r="E27" s="702">
        <v>0.4</v>
      </c>
      <c r="F27" s="702">
        <v>0.2</v>
      </c>
      <c r="G27" s="702">
        <v>0</v>
      </c>
    </row>
    <row r="28" spans="1:7" x14ac:dyDescent="0.25">
      <c r="A28" s="703" t="s">
        <v>381</v>
      </c>
      <c r="B28" s="704">
        <f t="shared" ref="B28:G28" si="4">+B26*B27</f>
        <v>91691.12</v>
      </c>
      <c r="C28" s="704">
        <f t="shared" si="4"/>
        <v>74819.95392</v>
      </c>
      <c r="D28" s="704">
        <f t="shared" si="4"/>
        <v>57237.2647488</v>
      </c>
      <c r="E28" s="704">
        <f t="shared" si="4"/>
        <v>38921.340029184001</v>
      </c>
      <c r="F28" s="704">
        <f t="shared" si="4"/>
        <v>19849.883414883843</v>
      </c>
      <c r="G28" s="704">
        <f t="shared" si="4"/>
        <v>0</v>
      </c>
    </row>
    <row r="29" spans="1:7" x14ac:dyDescent="0.25">
      <c r="A29" s="296" t="s">
        <v>382</v>
      </c>
      <c r="B29" s="701">
        <f>-G21</f>
        <v>15912.810000000001</v>
      </c>
      <c r="C29" s="701">
        <f>+B29*(1+C$24)</f>
        <v>16231.066200000001</v>
      </c>
      <c r="D29" s="701">
        <f>+C29*(1+D$24)</f>
        <v>16555.687524000001</v>
      </c>
      <c r="E29" s="701">
        <f>+D29*(1+E$24)</f>
        <v>16886.80127448</v>
      </c>
      <c r="F29" s="701">
        <f>+E29*(1+F$24)</f>
        <v>17224.537299969601</v>
      </c>
      <c r="G29" s="701">
        <f>+F29/(B37-G24)</f>
        <v>202641.61529376003</v>
      </c>
    </row>
    <row r="30" spans="1:7" x14ac:dyDescent="0.25">
      <c r="A30" s="296" t="s">
        <v>380</v>
      </c>
      <c r="B30" s="702">
        <v>1</v>
      </c>
      <c r="C30" s="702">
        <v>1</v>
      </c>
      <c r="D30" s="702">
        <v>1</v>
      </c>
      <c r="E30" s="702">
        <v>1</v>
      </c>
      <c r="F30" s="702">
        <v>1</v>
      </c>
      <c r="G30" s="702">
        <v>1</v>
      </c>
    </row>
    <row r="31" spans="1:7" x14ac:dyDescent="0.25">
      <c r="A31" s="703" t="s">
        <v>383</v>
      </c>
      <c r="B31" s="705">
        <f t="shared" ref="B31:G31" si="5">+B29*B30</f>
        <v>15912.810000000001</v>
      </c>
      <c r="C31" s="705">
        <f t="shared" si="5"/>
        <v>16231.066200000001</v>
      </c>
      <c r="D31" s="705">
        <f t="shared" si="5"/>
        <v>16555.687524000001</v>
      </c>
      <c r="E31" s="705">
        <f t="shared" si="5"/>
        <v>16886.80127448</v>
      </c>
      <c r="F31" s="705">
        <f t="shared" si="5"/>
        <v>17224.537299969601</v>
      </c>
      <c r="G31" s="705">
        <f t="shared" si="5"/>
        <v>202641.61529376003</v>
      </c>
    </row>
    <row r="32" spans="1:7" x14ac:dyDescent="0.25">
      <c r="A32" s="700"/>
      <c r="B32" s="706">
        <f t="shared" ref="B32:G32" si="6">SUM(B28:B30)</f>
        <v>107604.93</v>
      </c>
      <c r="C32" s="706">
        <f t="shared" si="6"/>
        <v>91052.020120000001</v>
      </c>
      <c r="D32" s="706">
        <f t="shared" si="6"/>
        <v>73793.952272800001</v>
      </c>
      <c r="E32" s="706">
        <f t="shared" si="6"/>
        <v>55809.141303664001</v>
      </c>
      <c r="F32" s="706">
        <f t="shared" si="6"/>
        <v>37075.420714853448</v>
      </c>
      <c r="G32" s="706">
        <f t="shared" si="6"/>
        <v>202642.61529376003</v>
      </c>
    </row>
    <row r="33" spans="1:9" x14ac:dyDescent="0.25">
      <c r="A33" s="296" t="s">
        <v>260</v>
      </c>
      <c r="B33" s="297">
        <v>0.05</v>
      </c>
      <c r="C33" s="297">
        <v>0.05</v>
      </c>
      <c r="D33" s="297">
        <v>0.05</v>
      </c>
      <c r="E33" s="297">
        <v>0.05</v>
      </c>
      <c r="F33" s="297">
        <v>0.05</v>
      </c>
      <c r="G33" s="297">
        <v>0.05</v>
      </c>
    </row>
    <row r="34" spans="1:9" x14ac:dyDescent="0.25">
      <c r="A34" s="296" t="s">
        <v>276</v>
      </c>
      <c r="B34" s="709">
        <v>0.105</v>
      </c>
      <c r="C34" s="709">
        <v>0.105</v>
      </c>
      <c r="D34" s="709">
        <v>0.105</v>
      </c>
      <c r="E34" s="709">
        <v>0.105</v>
      </c>
      <c r="F34" s="709">
        <v>0.105</v>
      </c>
      <c r="G34" s="709">
        <v>0.105</v>
      </c>
    </row>
    <row r="35" spans="1:9" x14ac:dyDescent="0.25">
      <c r="A35" s="296" t="s">
        <v>344</v>
      </c>
      <c r="B35" s="297">
        <v>1</v>
      </c>
      <c r="C35" s="297"/>
      <c r="D35" s="297"/>
      <c r="E35" s="297"/>
      <c r="F35" s="297"/>
      <c r="G35" s="297"/>
    </row>
    <row r="36" spans="1:9" x14ac:dyDescent="0.25">
      <c r="A36" s="296" t="s">
        <v>345</v>
      </c>
      <c r="B36" s="297">
        <f>100%-B35</f>
        <v>0</v>
      </c>
      <c r="C36" s="297"/>
      <c r="D36" s="297"/>
      <c r="E36" s="297"/>
      <c r="F36" s="297"/>
      <c r="G36" s="297"/>
    </row>
    <row r="37" spans="1:9" x14ac:dyDescent="0.25">
      <c r="A37" s="700" t="s">
        <v>278</v>
      </c>
      <c r="B37" s="710">
        <f>+(B35*B34)+(B33*B36*(1-0.25))</f>
        <v>0.105</v>
      </c>
      <c r="C37" s="710"/>
      <c r="D37" s="710"/>
      <c r="E37" s="710"/>
      <c r="F37" s="710"/>
      <c r="G37" s="710"/>
    </row>
    <row r="38" spans="1:9" ht="16.5" thickBot="1" x14ac:dyDescent="0.3">
      <c r="A38" s="584" t="s">
        <v>384</v>
      </c>
    </row>
    <row r="39" spans="1:9" x14ac:dyDescent="0.25">
      <c r="A39" s="711" t="s">
        <v>381</v>
      </c>
      <c r="B39" s="712">
        <f>NPV(B37,B28:G28)</f>
        <v>224831.60285152949</v>
      </c>
      <c r="C39" s="289"/>
    </row>
    <row r="40" spans="1:9" x14ac:dyDescent="0.25">
      <c r="A40" s="713" t="s">
        <v>383</v>
      </c>
      <c r="B40" s="714">
        <f>NPV(B37,B31:G31)</f>
        <v>173061.35121712429</v>
      </c>
      <c r="C40" s="289"/>
    </row>
    <row r="41" spans="1:9" ht="16.5" thickBot="1" x14ac:dyDescent="0.3">
      <c r="A41" s="715" t="s">
        <v>385</v>
      </c>
      <c r="B41" s="716">
        <f>NPV(B37,B32:G32)</f>
        <v>397897.24624804151</v>
      </c>
      <c r="C41" s="289"/>
    </row>
    <row r="42" spans="1:9" x14ac:dyDescent="0.25">
      <c r="A42" s="289"/>
      <c r="B42" s="717"/>
      <c r="C42" s="289"/>
    </row>
    <row r="43" spans="1:9" ht="16.5" thickBot="1" x14ac:dyDescent="0.3">
      <c r="H43" s="670"/>
      <c r="I43" s="670"/>
    </row>
    <row r="44" spans="1:9" ht="220.5" x14ac:dyDescent="0.25">
      <c r="A44" s="718"/>
      <c r="B44" s="719" t="s">
        <v>832</v>
      </c>
      <c r="C44" s="719" t="s">
        <v>833</v>
      </c>
      <c r="D44" s="719" t="s">
        <v>834</v>
      </c>
      <c r="E44" s="719" t="s">
        <v>835</v>
      </c>
      <c r="F44" s="719" t="s">
        <v>836</v>
      </c>
      <c r="G44" s="719" t="s">
        <v>837</v>
      </c>
      <c r="H44" s="720" t="s">
        <v>76</v>
      </c>
      <c r="I44" s="670"/>
    </row>
    <row r="45" spans="1:9" x14ac:dyDescent="0.25">
      <c r="H45" s="670"/>
      <c r="I45" s="670"/>
    </row>
    <row r="46" spans="1:9" x14ac:dyDescent="0.25">
      <c r="B46" s="721">
        <v>0.13404825737265416</v>
      </c>
      <c r="C46" s="721">
        <v>0.12987012987012986</v>
      </c>
      <c r="D46" s="721">
        <v>4.926108374384236E-2</v>
      </c>
      <c r="E46" s="721">
        <v>7.82472613458529E-2</v>
      </c>
      <c r="F46" s="721">
        <v>0.11350737797956867</v>
      </c>
      <c r="G46" s="721">
        <v>6.6093853271645728E-2</v>
      </c>
      <c r="H46" s="721">
        <v>0.10256410256410256</v>
      </c>
      <c r="I46" s="67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workbookViewId="0">
      <selection activeCell="G6" sqref="G6"/>
    </sheetView>
  </sheetViews>
  <sheetFormatPr baseColWidth="10" defaultColWidth="11.42578125" defaultRowHeight="15.75" x14ac:dyDescent="0.25"/>
  <cols>
    <col min="1" max="1" width="43.85546875" style="289" customWidth="1"/>
    <col min="2" max="2" width="13" style="289" customWidth="1"/>
    <col min="3" max="3" width="9" style="289" customWidth="1"/>
    <col min="4" max="4" width="10.85546875" style="289" bestFit="1" customWidth="1"/>
    <col min="5" max="5" width="8.28515625" style="289" customWidth="1"/>
    <col min="6" max="6" width="8.7109375" style="289" customWidth="1"/>
    <col min="7" max="7" width="8.42578125" style="289" bestFit="1" customWidth="1"/>
    <col min="8" max="9" width="7.28515625" style="289" bestFit="1" customWidth="1"/>
    <col min="10" max="10" width="11.5703125" style="289" bestFit="1" customWidth="1"/>
    <col min="11" max="16384" width="11.42578125" style="289"/>
  </cols>
  <sheetData>
    <row r="1" spans="1:7" x14ac:dyDescent="0.25">
      <c r="A1" s="670" t="s">
        <v>333</v>
      </c>
    </row>
    <row r="2" spans="1:7" x14ac:dyDescent="0.25">
      <c r="A2" s="670" t="s">
        <v>334</v>
      </c>
    </row>
    <row r="3" spans="1:7" ht="16.5" thickBot="1" x14ac:dyDescent="0.3">
      <c r="A3" s="670"/>
    </row>
    <row r="4" spans="1:7" ht="16.5" thickBot="1" x14ac:dyDescent="0.3">
      <c r="A4" s="726"/>
      <c r="B4" s="727" t="s">
        <v>335</v>
      </c>
      <c r="C4" s="728" t="s">
        <v>336</v>
      </c>
      <c r="D4" s="728" t="s">
        <v>337</v>
      </c>
      <c r="E4" s="729" t="s">
        <v>338</v>
      </c>
    </row>
    <row r="5" spans="1:7" ht="16.5" thickBot="1" x14ac:dyDescent="0.3">
      <c r="A5" s="725" t="s">
        <v>281</v>
      </c>
      <c r="B5" s="730">
        <v>46534.6</v>
      </c>
      <c r="C5" s="731">
        <v>60635</v>
      </c>
      <c r="D5" s="732">
        <v>50812.066666666666</v>
      </c>
      <c r="E5" s="733">
        <v>63851</v>
      </c>
    </row>
    <row r="7" spans="1:7" x14ac:dyDescent="0.25">
      <c r="A7" s="671" t="s">
        <v>339</v>
      </c>
    </row>
    <row r="8" spans="1:7" ht="16.5" thickBot="1" x14ac:dyDescent="0.3"/>
    <row r="9" spans="1:7" x14ac:dyDescent="0.25">
      <c r="A9" s="697" t="s">
        <v>340</v>
      </c>
      <c r="B9" s="698">
        <v>2012</v>
      </c>
      <c r="C9" s="698">
        <f>+B9+1</f>
        <v>2013</v>
      </c>
      <c r="D9" s="698">
        <f>+C9+1</f>
        <v>2014</v>
      </c>
      <c r="E9" s="698">
        <f>+D9+1</f>
        <v>2015</v>
      </c>
      <c r="F9" s="698">
        <f>+E9+1</f>
        <v>2016</v>
      </c>
      <c r="G9" s="734" t="s">
        <v>341</v>
      </c>
    </row>
    <row r="10" spans="1:7" x14ac:dyDescent="0.25">
      <c r="A10" s="735" t="s">
        <v>256</v>
      </c>
      <c r="B10" s="736">
        <v>0.02</v>
      </c>
      <c r="C10" s="736">
        <v>0.02</v>
      </c>
      <c r="D10" s="736">
        <v>0.02</v>
      </c>
      <c r="E10" s="736">
        <v>0.02</v>
      </c>
      <c r="F10" s="736">
        <v>0.02</v>
      </c>
      <c r="G10" s="737">
        <v>0.02</v>
      </c>
    </row>
    <row r="11" spans="1:7" x14ac:dyDescent="0.25">
      <c r="A11" s="735" t="s">
        <v>342</v>
      </c>
      <c r="B11" s="738"/>
      <c r="C11" s="738"/>
      <c r="D11" s="738"/>
      <c r="E11" s="738"/>
      <c r="F11" s="738"/>
      <c r="G11" s="739"/>
    </row>
    <row r="12" spans="1:7" ht="16.5" thickBot="1" x14ac:dyDescent="0.3">
      <c r="A12" s="735"/>
      <c r="B12" s="740"/>
      <c r="C12" s="740"/>
      <c r="D12" s="740"/>
      <c r="E12" s="740"/>
      <c r="F12" s="740"/>
      <c r="G12" s="677"/>
    </row>
    <row r="13" spans="1:7" x14ac:dyDescent="0.25">
      <c r="A13" s="741"/>
      <c r="B13" s="698">
        <v>2012</v>
      </c>
      <c r="C13" s="698">
        <f>+B13+1</f>
        <v>2013</v>
      </c>
      <c r="D13" s="698">
        <f>+C13+1</f>
        <v>2014</v>
      </c>
      <c r="E13" s="698">
        <f>+D13+1</f>
        <v>2015</v>
      </c>
      <c r="F13" s="698">
        <f>+E13+1</f>
        <v>2016</v>
      </c>
      <c r="G13" s="734" t="s">
        <v>341</v>
      </c>
    </row>
    <row r="14" spans="1:7" x14ac:dyDescent="0.25">
      <c r="A14" s="300" t="s">
        <v>281</v>
      </c>
      <c r="B14" s="701">
        <f>+C5</f>
        <v>60635</v>
      </c>
      <c r="C14" s="701">
        <f>+B14*(1+C$10)</f>
        <v>61847.700000000004</v>
      </c>
      <c r="D14" s="701">
        <f>+C14*(1+D$10)</f>
        <v>63084.654000000002</v>
      </c>
      <c r="E14" s="701">
        <f>+D14*(1+E$10)</f>
        <v>64346.347080000007</v>
      </c>
      <c r="F14" s="701">
        <f>+E14*(1+F$10)</f>
        <v>65633.274021600009</v>
      </c>
      <c r="G14" s="742">
        <f>+F14*(1+G$10)</f>
        <v>66945.939502032008</v>
      </c>
    </row>
    <row r="15" spans="1:7" x14ac:dyDescent="0.25">
      <c r="A15" s="300" t="s">
        <v>250</v>
      </c>
      <c r="B15" s="701">
        <f>+[3]ANEXO!F30</f>
        <v>12227</v>
      </c>
      <c r="C15" s="701">
        <f>+B15</f>
        <v>12227</v>
      </c>
      <c r="D15" s="701">
        <f>+C15</f>
        <v>12227</v>
      </c>
      <c r="E15" s="701">
        <f>+D15</f>
        <v>12227</v>
      </c>
      <c r="F15" s="701">
        <f>+E15</f>
        <v>12227</v>
      </c>
      <c r="G15" s="743">
        <f>+[3]ANEXO!F4-SUM('[3]escuredo 2 '!B15:F15)</f>
        <v>51140</v>
      </c>
    </row>
    <row r="16" spans="1:7" x14ac:dyDescent="0.25">
      <c r="A16" s="744"/>
      <c r="B16" s="704">
        <f t="shared" ref="B16:G16" si="0">+B14+B15</f>
        <v>72862</v>
      </c>
      <c r="C16" s="704">
        <f t="shared" si="0"/>
        <v>74074.700000000012</v>
      </c>
      <c r="D16" s="704">
        <f t="shared" si="0"/>
        <v>75311.65400000001</v>
      </c>
      <c r="E16" s="704">
        <f t="shared" si="0"/>
        <v>76573.347080000007</v>
      </c>
      <c r="F16" s="704">
        <f t="shared" si="0"/>
        <v>77860.274021600009</v>
      </c>
      <c r="G16" s="745">
        <f t="shared" si="0"/>
        <v>118085.93950203201</v>
      </c>
    </row>
    <row r="17" spans="1:7" x14ac:dyDescent="0.25">
      <c r="A17" s="300"/>
      <c r="B17" s="701"/>
      <c r="C17" s="701"/>
      <c r="D17" s="701"/>
      <c r="E17" s="701"/>
      <c r="F17" s="701"/>
      <c r="G17" s="742"/>
    </row>
    <row r="18" spans="1:7" x14ac:dyDescent="0.25">
      <c r="A18" s="300"/>
      <c r="B18" s="702"/>
      <c r="C18" s="702"/>
      <c r="D18" s="702"/>
      <c r="E18" s="702"/>
      <c r="F18" s="702"/>
      <c r="G18" s="746"/>
    </row>
    <row r="19" spans="1:7" x14ac:dyDescent="0.25">
      <c r="A19" s="744"/>
      <c r="B19" s="705">
        <f t="shared" ref="B19:G19" si="1">+B17*B18</f>
        <v>0</v>
      </c>
      <c r="C19" s="705">
        <f t="shared" si="1"/>
        <v>0</v>
      </c>
      <c r="D19" s="705">
        <f t="shared" si="1"/>
        <v>0</v>
      </c>
      <c r="E19" s="705">
        <f t="shared" si="1"/>
        <v>0</v>
      </c>
      <c r="F19" s="705">
        <f t="shared" si="1"/>
        <v>0</v>
      </c>
      <c r="G19" s="747">
        <f t="shared" si="1"/>
        <v>0</v>
      </c>
    </row>
    <row r="20" spans="1:7" x14ac:dyDescent="0.25">
      <c r="A20" s="741" t="s">
        <v>343</v>
      </c>
      <c r="B20" s="706">
        <f t="shared" ref="B20:G20" si="2">SUM(B16:B18)</f>
        <v>72862</v>
      </c>
      <c r="C20" s="706">
        <f t="shared" si="2"/>
        <v>74074.700000000012</v>
      </c>
      <c r="D20" s="706">
        <f t="shared" si="2"/>
        <v>75311.65400000001</v>
      </c>
      <c r="E20" s="706">
        <f t="shared" si="2"/>
        <v>76573.347080000007</v>
      </c>
      <c r="F20" s="706">
        <f t="shared" si="2"/>
        <v>77860.274021600009</v>
      </c>
      <c r="G20" s="748">
        <f t="shared" si="2"/>
        <v>118085.93950203201</v>
      </c>
    </row>
    <row r="21" spans="1:7" x14ac:dyDescent="0.25">
      <c r="A21" s="749"/>
      <c r="B21" s="708">
        <v>0</v>
      </c>
      <c r="C21" s="708">
        <v>0</v>
      </c>
      <c r="D21" s="708">
        <v>0</v>
      </c>
      <c r="E21" s="708">
        <v>0</v>
      </c>
      <c r="F21" s="708">
        <v>0</v>
      </c>
      <c r="G21" s="750">
        <v>0</v>
      </c>
    </row>
    <row r="22" spans="1:7" x14ac:dyDescent="0.25">
      <c r="A22" s="741"/>
      <c r="B22" s="706">
        <f t="shared" ref="B22:G22" si="3">+B20+B21</f>
        <v>72862</v>
      </c>
      <c r="C22" s="706">
        <f t="shared" si="3"/>
        <v>74074.700000000012</v>
      </c>
      <c r="D22" s="706">
        <f t="shared" si="3"/>
        <v>75311.65400000001</v>
      </c>
      <c r="E22" s="706">
        <f t="shared" si="3"/>
        <v>76573.347080000007</v>
      </c>
      <c r="F22" s="706">
        <f t="shared" si="3"/>
        <v>77860.274021600009</v>
      </c>
      <c r="G22" s="748">
        <f t="shared" si="3"/>
        <v>118085.93950203201</v>
      </c>
    </row>
    <row r="23" spans="1:7" x14ac:dyDescent="0.25">
      <c r="A23" s="300"/>
      <c r="B23" s="296"/>
      <c r="C23" s="296"/>
      <c r="D23" s="296"/>
      <c r="E23" s="296"/>
      <c r="F23" s="296"/>
      <c r="G23" s="302"/>
    </row>
    <row r="24" spans="1:7" x14ac:dyDescent="0.25">
      <c r="A24" s="300" t="s">
        <v>260</v>
      </c>
      <c r="B24" s="297">
        <v>0.05</v>
      </c>
      <c r="C24" s="297">
        <v>0.05</v>
      </c>
      <c r="D24" s="297">
        <v>0.05</v>
      </c>
      <c r="E24" s="297">
        <v>0.05</v>
      </c>
      <c r="F24" s="297">
        <v>0.05</v>
      </c>
      <c r="G24" s="311">
        <v>0.05</v>
      </c>
    </row>
    <row r="25" spans="1:7" x14ac:dyDescent="0.25">
      <c r="A25" s="300" t="s">
        <v>276</v>
      </c>
      <c r="B25" s="709">
        <v>0.105</v>
      </c>
      <c r="C25" s="709">
        <v>0.105</v>
      </c>
      <c r="D25" s="709">
        <v>0.105</v>
      </c>
      <c r="E25" s="709">
        <v>0.105</v>
      </c>
      <c r="F25" s="709">
        <v>0.105</v>
      </c>
      <c r="G25" s="751">
        <v>0.105</v>
      </c>
    </row>
    <row r="26" spans="1:7" x14ac:dyDescent="0.25">
      <c r="A26" s="300" t="s">
        <v>344</v>
      </c>
      <c r="B26" s="297">
        <v>1</v>
      </c>
      <c r="C26" s="297"/>
      <c r="D26" s="297"/>
      <c r="E26" s="297"/>
      <c r="F26" s="297"/>
      <c r="G26" s="311"/>
    </row>
    <row r="27" spans="1:7" x14ac:dyDescent="0.25">
      <c r="A27" s="300" t="s">
        <v>345</v>
      </c>
      <c r="B27" s="297">
        <f>100%-B26</f>
        <v>0</v>
      </c>
      <c r="C27" s="297"/>
      <c r="D27" s="297"/>
      <c r="E27" s="297"/>
      <c r="F27" s="297"/>
      <c r="G27" s="311"/>
    </row>
    <row r="28" spans="1:7" ht="16.5" thickBot="1" x14ac:dyDescent="0.3">
      <c r="A28" s="752" t="s">
        <v>278</v>
      </c>
      <c r="B28" s="753">
        <f>+(B26*B25)+(B24*B27*(1-0.25))</f>
        <v>0.105</v>
      </c>
      <c r="C28" s="753"/>
      <c r="D28" s="753"/>
      <c r="E28" s="753"/>
      <c r="F28" s="753"/>
      <c r="G28" s="754"/>
    </row>
    <row r="29" spans="1:7" ht="16.5" thickBot="1" x14ac:dyDescent="0.3">
      <c r="A29" s="670"/>
      <c r="B29" s="670"/>
      <c r="C29" s="670"/>
      <c r="D29" s="670"/>
      <c r="E29" s="670"/>
      <c r="F29" s="670"/>
      <c r="G29" s="670"/>
    </row>
    <row r="30" spans="1:7" ht="16.5" thickBot="1" x14ac:dyDescent="0.3">
      <c r="A30" s="755" t="s">
        <v>346</v>
      </c>
      <c r="B30" s="756">
        <f>NPV(B28,B20:G20)</f>
        <v>345911.29583871679</v>
      </c>
      <c r="D30" s="670"/>
      <c r="E30" s="670"/>
      <c r="F30" s="670"/>
      <c r="G30" s="670"/>
    </row>
    <row r="31" spans="1:7" x14ac:dyDescent="0.25">
      <c r="A31" s="298" t="s">
        <v>347</v>
      </c>
      <c r="B31" s="757"/>
      <c r="D31" s="670"/>
      <c r="E31" s="670"/>
      <c r="F31" s="670"/>
      <c r="G31" s="670"/>
    </row>
    <row r="32" spans="1:7" x14ac:dyDescent="0.25">
      <c r="A32" s="671" t="s">
        <v>348</v>
      </c>
      <c r="B32" s="758">
        <f>-SUM(B44:I44)</f>
        <v>-163726.875</v>
      </c>
    </row>
    <row r="33" spans="1:10" x14ac:dyDescent="0.25">
      <c r="A33" s="671" t="s">
        <v>349</v>
      </c>
      <c r="B33" s="758">
        <v>-18000</v>
      </c>
      <c r="C33" s="758"/>
      <c r="D33" s="758"/>
      <c r="E33" s="758"/>
      <c r="F33" s="758"/>
      <c r="G33" s="758"/>
      <c r="H33" s="758"/>
      <c r="I33" s="758"/>
      <c r="J33" s="758"/>
    </row>
    <row r="34" spans="1:10" x14ac:dyDescent="0.25">
      <c r="A34" s="759" t="s">
        <v>350</v>
      </c>
      <c r="B34" s="758"/>
      <c r="C34" s="758"/>
      <c r="D34" s="758"/>
      <c r="E34" s="758"/>
      <c r="F34" s="758"/>
      <c r="G34" s="758"/>
      <c r="H34" s="758"/>
      <c r="I34" s="758"/>
      <c r="J34" s="758"/>
    </row>
    <row r="35" spans="1:10" x14ac:dyDescent="0.25">
      <c r="A35" s="760" t="s">
        <v>55</v>
      </c>
      <c r="B35" s="761">
        <f>0.875*B43/1.35</f>
        <v>94328.24074074073</v>
      </c>
      <c r="C35" s="761" t="s">
        <v>351</v>
      </c>
      <c r="D35" s="758"/>
      <c r="E35" s="758"/>
      <c r="F35" s="758"/>
      <c r="G35" s="758"/>
      <c r="H35" s="758"/>
      <c r="I35" s="758"/>
      <c r="J35" s="758"/>
    </row>
    <row r="36" spans="1:10" ht="16.5" thickBot="1" x14ac:dyDescent="0.3"/>
    <row r="37" spans="1:10" ht="16.5" thickBot="1" x14ac:dyDescent="0.3">
      <c r="A37" s="755" t="s">
        <v>352</v>
      </c>
      <c r="B37" s="756">
        <f>SUM(B30:B36)</f>
        <v>258512.66157945752</v>
      </c>
    </row>
    <row r="38" spans="1:10" ht="16.5" thickBot="1" x14ac:dyDescent="0.3"/>
    <row r="39" spans="1:10" x14ac:dyDescent="0.25">
      <c r="A39" s="726"/>
      <c r="B39" s="728" t="s">
        <v>353</v>
      </c>
      <c r="C39" s="303"/>
      <c r="D39" s="303"/>
      <c r="E39" s="303"/>
      <c r="F39" s="303"/>
      <c r="G39" s="303"/>
      <c r="H39" s="303"/>
      <c r="I39" s="303"/>
      <c r="J39" s="304"/>
    </row>
    <row r="40" spans="1:10" x14ac:dyDescent="0.25">
      <c r="A40" s="300"/>
      <c r="B40" s="762" t="s">
        <v>354</v>
      </c>
      <c r="C40" s="762" t="s">
        <v>354</v>
      </c>
      <c r="D40" s="762" t="s">
        <v>354</v>
      </c>
      <c r="E40" s="762" t="s">
        <v>354</v>
      </c>
      <c r="F40" s="762" t="s">
        <v>355</v>
      </c>
      <c r="G40" s="762" t="s">
        <v>355</v>
      </c>
      <c r="H40" s="762" t="s">
        <v>355</v>
      </c>
      <c r="I40" s="762" t="s">
        <v>355</v>
      </c>
      <c r="J40" s="302"/>
    </row>
    <row r="41" spans="1:10" x14ac:dyDescent="0.25">
      <c r="A41" s="300"/>
      <c r="B41" s="762" t="s">
        <v>356</v>
      </c>
      <c r="C41" s="762" t="s">
        <v>357</v>
      </c>
      <c r="D41" s="762" t="s">
        <v>358</v>
      </c>
      <c r="E41" s="762" t="s">
        <v>359</v>
      </c>
      <c r="F41" s="762" t="s">
        <v>356</v>
      </c>
      <c r="G41" s="762" t="s">
        <v>357</v>
      </c>
      <c r="H41" s="762" t="s">
        <v>358</v>
      </c>
      <c r="I41" s="762" t="s">
        <v>359</v>
      </c>
      <c r="J41" s="763"/>
    </row>
    <row r="42" spans="1:10" x14ac:dyDescent="0.25">
      <c r="A42" s="300"/>
      <c r="B42" s="764">
        <v>1</v>
      </c>
      <c r="C42" s="765">
        <f>+B42/8*7</f>
        <v>0.875</v>
      </c>
      <c r="D42" s="764">
        <f t="shared" ref="D42:I42" si="4">+C42-(B42-C42)</f>
        <v>0.75</v>
      </c>
      <c r="E42" s="764">
        <f t="shared" si="4"/>
        <v>0.625</v>
      </c>
      <c r="F42" s="764">
        <f t="shared" si="4"/>
        <v>0.5</v>
      </c>
      <c r="G42" s="764">
        <f t="shared" si="4"/>
        <v>0.375</v>
      </c>
      <c r="H42" s="764">
        <f t="shared" si="4"/>
        <v>0.25</v>
      </c>
      <c r="I42" s="764">
        <f t="shared" si="4"/>
        <v>0.125</v>
      </c>
      <c r="J42" s="763"/>
    </row>
    <row r="43" spans="1:10" x14ac:dyDescent="0.25">
      <c r="A43" s="766" t="s">
        <v>360</v>
      </c>
      <c r="B43" s="701">
        <f>+[3]ANEXO!F28</f>
        <v>145535</v>
      </c>
      <c r="C43" s="701">
        <f>+$B43/8*7</f>
        <v>127343.125</v>
      </c>
      <c r="D43" s="701">
        <f>+$B43/8*6</f>
        <v>109151.25</v>
      </c>
      <c r="E43" s="701">
        <f>+$B43/8*5</f>
        <v>90959.375</v>
      </c>
      <c r="F43" s="701">
        <f>+$B43/8*4</f>
        <v>72767.5</v>
      </c>
      <c r="G43" s="701">
        <f>+$B43/8*3</f>
        <v>54575.625</v>
      </c>
      <c r="H43" s="701">
        <f>+$B43/8*2</f>
        <v>36383.75</v>
      </c>
      <c r="I43" s="701">
        <f>+$B43/8*1</f>
        <v>18191.875</v>
      </c>
      <c r="J43" s="742"/>
    </row>
    <row r="44" spans="1:10" x14ac:dyDescent="0.25">
      <c r="A44" s="766" t="s">
        <v>361</v>
      </c>
      <c r="B44" s="701">
        <f t="shared" ref="B44:I44" si="5">+B43/4</f>
        <v>36383.75</v>
      </c>
      <c r="C44" s="701">
        <f t="shared" si="5"/>
        <v>31835.78125</v>
      </c>
      <c r="D44" s="701">
        <f t="shared" si="5"/>
        <v>27287.8125</v>
      </c>
      <c r="E44" s="701">
        <f t="shared" si="5"/>
        <v>22739.84375</v>
      </c>
      <c r="F44" s="701">
        <f t="shared" si="5"/>
        <v>18191.875</v>
      </c>
      <c r="G44" s="701">
        <f t="shared" si="5"/>
        <v>13643.90625</v>
      </c>
      <c r="H44" s="701">
        <f t="shared" si="5"/>
        <v>9095.9375</v>
      </c>
      <c r="I44" s="701">
        <f t="shared" si="5"/>
        <v>4547.96875</v>
      </c>
      <c r="J44" s="742">
        <f>SUM(B44:I44)</f>
        <v>163726.875</v>
      </c>
    </row>
    <row r="45" spans="1:10" ht="16.5" thickBot="1" x14ac:dyDescent="0.3">
      <c r="A45" s="301" t="s">
        <v>362</v>
      </c>
      <c r="B45" s="732">
        <f>+(45*7/360*$B$43/1.35/8)</f>
        <v>11791.030092592591</v>
      </c>
      <c r="C45" s="732">
        <f t="shared" ref="C45:I45" si="6">+(45*7/360*$B$43/1.35/8)</f>
        <v>11791.030092592591</v>
      </c>
      <c r="D45" s="732">
        <f t="shared" si="6"/>
        <v>11791.030092592591</v>
      </c>
      <c r="E45" s="732">
        <f t="shared" si="6"/>
        <v>11791.030092592591</v>
      </c>
      <c r="F45" s="732">
        <f t="shared" si="6"/>
        <v>11791.030092592591</v>
      </c>
      <c r="G45" s="732">
        <f t="shared" si="6"/>
        <v>11791.030092592591</v>
      </c>
      <c r="H45" s="732">
        <f t="shared" si="6"/>
        <v>11791.030092592591</v>
      </c>
      <c r="I45" s="732">
        <f t="shared" si="6"/>
        <v>11791.030092592591</v>
      </c>
      <c r="J45" s="767">
        <f>SUM(B45:I45)</f>
        <v>94328.24074074073</v>
      </c>
    </row>
    <row r="46" spans="1:10" x14ac:dyDescent="0.25">
      <c r="A46" s="768"/>
      <c r="B46" s="701"/>
      <c r="C46" s="701"/>
      <c r="D46" s="701"/>
      <c r="E46" s="701"/>
      <c r="F46" s="701"/>
      <c r="G46" s="701"/>
      <c r="H46" s="701"/>
      <c r="I46" s="701"/>
      <c r="J46" s="70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topLeftCell="A22" workbookViewId="0">
      <selection activeCell="I54" sqref="I54"/>
    </sheetView>
  </sheetViews>
  <sheetFormatPr baseColWidth="10" defaultColWidth="11.42578125" defaultRowHeight="15.75" x14ac:dyDescent="0.25"/>
  <cols>
    <col min="1" max="1" width="57.42578125" style="813" customWidth="1"/>
    <col min="2" max="2" width="13.140625" style="813" bestFit="1" customWidth="1"/>
    <col min="3" max="3" width="11.140625" style="813" customWidth="1"/>
    <col min="4" max="4" width="11.42578125" style="813" customWidth="1"/>
    <col min="5" max="6" width="8.7109375" style="813" bestFit="1" customWidth="1"/>
    <col min="7" max="7" width="10.7109375" style="813" customWidth="1"/>
    <col min="8" max="8" width="8.42578125" style="813" bestFit="1" customWidth="1"/>
    <col min="9" max="9" width="21.140625" style="813" bestFit="1" customWidth="1"/>
    <col min="10" max="10" width="8.7109375" style="813" bestFit="1" customWidth="1"/>
    <col min="11" max="11" width="10.42578125" style="813" bestFit="1" customWidth="1"/>
    <col min="12" max="12" width="8.7109375" style="813" bestFit="1" customWidth="1"/>
    <col min="13" max="14" width="11.7109375" style="813" bestFit="1" customWidth="1"/>
    <col min="15" max="15" width="11.42578125" style="813"/>
    <col min="16" max="16" width="25.7109375" style="813" bestFit="1" customWidth="1"/>
    <col min="17" max="21" width="11.7109375" style="813" bestFit="1" customWidth="1"/>
    <col min="22" max="16384" width="11.42578125" style="813"/>
  </cols>
  <sheetData>
    <row r="1" spans="1:6" s="781" customFormat="1" x14ac:dyDescent="0.25">
      <c r="A1" s="779" t="s">
        <v>839</v>
      </c>
      <c r="B1" s="780">
        <v>2011</v>
      </c>
      <c r="C1" s="780">
        <v>2010</v>
      </c>
      <c r="D1" s="780">
        <v>2009</v>
      </c>
      <c r="E1" s="780">
        <v>2008</v>
      </c>
      <c r="F1" s="780">
        <v>20007</v>
      </c>
    </row>
    <row r="2" spans="1:6" s="781" customFormat="1" x14ac:dyDescent="0.25">
      <c r="A2" s="782" t="s">
        <v>386</v>
      </c>
      <c r="B2" s="780" t="s">
        <v>387</v>
      </c>
      <c r="C2" s="780" t="s">
        <v>387</v>
      </c>
      <c r="D2" s="780" t="s">
        <v>387</v>
      </c>
      <c r="E2" s="780" t="s">
        <v>387</v>
      </c>
      <c r="F2" s="780" t="s">
        <v>387</v>
      </c>
    </row>
    <row r="3" spans="1:6" s="781" customFormat="1" x14ac:dyDescent="0.25">
      <c r="A3" s="782" t="s">
        <v>388</v>
      </c>
      <c r="B3" s="783">
        <v>139999</v>
      </c>
      <c r="C3" s="783">
        <v>140518</v>
      </c>
      <c r="D3" s="783">
        <v>37153</v>
      </c>
      <c r="E3" s="783">
        <v>47249</v>
      </c>
      <c r="F3" s="783">
        <v>49993</v>
      </c>
    </row>
    <row r="4" spans="1:6" s="781" customFormat="1" x14ac:dyDescent="0.25">
      <c r="A4" s="784" t="s">
        <v>389</v>
      </c>
      <c r="B4" s="785">
        <v>0</v>
      </c>
      <c r="C4" s="785">
        <v>0</v>
      </c>
      <c r="D4" s="785">
        <v>0</v>
      </c>
      <c r="E4" s="785">
        <v>0</v>
      </c>
      <c r="F4" s="785">
        <v>0</v>
      </c>
    </row>
    <row r="5" spans="1:6" s="781" customFormat="1" x14ac:dyDescent="0.25">
      <c r="A5" s="784" t="s">
        <v>53</v>
      </c>
      <c r="B5" s="783">
        <v>139158</v>
      </c>
      <c r="C5" s="783">
        <v>139677</v>
      </c>
      <c r="D5" s="783">
        <v>35704</v>
      </c>
      <c r="E5" s="783">
        <v>46408</v>
      </c>
      <c r="F5" s="783">
        <v>49152</v>
      </c>
    </row>
    <row r="6" spans="1:6" s="781" customFormat="1" x14ac:dyDescent="0.25">
      <c r="A6" s="784" t="s">
        <v>390</v>
      </c>
      <c r="B6" s="786">
        <v>841</v>
      </c>
      <c r="C6" s="786">
        <v>841</v>
      </c>
      <c r="D6" s="783">
        <v>1448</v>
      </c>
      <c r="E6" s="786">
        <v>841</v>
      </c>
      <c r="F6" s="786">
        <v>841</v>
      </c>
    </row>
    <row r="7" spans="1:6" s="781" customFormat="1" x14ac:dyDescent="0.25">
      <c r="A7" s="782" t="s">
        <v>391</v>
      </c>
      <c r="B7" s="783">
        <v>209381</v>
      </c>
      <c r="C7" s="783">
        <v>239720</v>
      </c>
      <c r="D7" s="783">
        <v>164824</v>
      </c>
      <c r="E7" s="783">
        <v>138457</v>
      </c>
      <c r="F7" s="783">
        <v>196761</v>
      </c>
    </row>
    <row r="8" spans="1:6" s="781" customFormat="1" x14ac:dyDescent="0.25">
      <c r="A8" s="784" t="s">
        <v>392</v>
      </c>
      <c r="B8" s="783">
        <v>185302</v>
      </c>
      <c r="C8" s="783">
        <v>214004</v>
      </c>
      <c r="D8" s="783">
        <v>154283</v>
      </c>
      <c r="E8" s="783">
        <v>122300</v>
      </c>
      <c r="F8" s="783">
        <v>134700</v>
      </c>
    </row>
    <row r="9" spans="1:6" s="781" customFormat="1" x14ac:dyDescent="0.25">
      <c r="A9" s="784" t="s">
        <v>393</v>
      </c>
      <c r="B9" s="783">
        <v>21976</v>
      </c>
      <c r="C9" s="783">
        <v>22612</v>
      </c>
      <c r="D9" s="783">
        <v>6876</v>
      </c>
      <c r="E9" s="783">
        <v>6743</v>
      </c>
      <c r="F9" s="783">
        <v>12286</v>
      </c>
    </row>
    <row r="10" spans="1:6" s="781" customFormat="1" x14ac:dyDescent="0.25">
      <c r="A10" s="784" t="s">
        <v>394</v>
      </c>
      <c r="B10" s="783">
        <v>2102</v>
      </c>
      <c r="C10" s="783">
        <v>3103</v>
      </c>
      <c r="D10" s="783">
        <v>3665</v>
      </c>
      <c r="E10" s="783">
        <v>7282</v>
      </c>
      <c r="F10" s="783">
        <v>49775</v>
      </c>
    </row>
    <row r="11" spans="1:6" s="781" customFormat="1" x14ac:dyDescent="0.25">
      <c r="A11" s="787" t="s">
        <v>395</v>
      </c>
      <c r="B11" s="788">
        <f>+B7+B3</f>
        <v>349380</v>
      </c>
      <c r="C11" s="788">
        <f>+C7+C3</f>
        <v>380238</v>
      </c>
      <c r="D11" s="788">
        <f>+D7+D3</f>
        <v>201977</v>
      </c>
      <c r="E11" s="788">
        <f>+E7+E3</f>
        <v>185706</v>
      </c>
      <c r="F11" s="788">
        <f>+F7+F3</f>
        <v>246754</v>
      </c>
    </row>
    <row r="12" spans="1:6" s="781" customFormat="1" x14ac:dyDescent="0.25"/>
    <row r="13" spans="1:6" s="781" customFormat="1" x14ac:dyDescent="0.25">
      <c r="A13" s="782" t="s">
        <v>396</v>
      </c>
      <c r="B13" s="783">
        <v>104575</v>
      </c>
      <c r="C13" s="783">
        <v>98890</v>
      </c>
      <c r="D13" s="783">
        <v>94220</v>
      </c>
      <c r="E13" s="783">
        <v>90428</v>
      </c>
      <c r="F13" s="783">
        <v>83432</v>
      </c>
    </row>
    <row r="14" spans="1:6" s="781" customFormat="1" x14ac:dyDescent="0.25">
      <c r="A14" s="784" t="s">
        <v>397</v>
      </c>
      <c r="B14" s="783">
        <v>9030</v>
      </c>
      <c r="C14" s="783">
        <v>9030</v>
      </c>
      <c r="D14" s="783">
        <v>9030</v>
      </c>
      <c r="E14" s="783">
        <v>9030</v>
      </c>
      <c r="F14" s="783">
        <v>9030</v>
      </c>
    </row>
    <row r="15" spans="1:6" s="781" customFormat="1" x14ac:dyDescent="0.25">
      <c r="A15" s="784" t="s">
        <v>398</v>
      </c>
      <c r="B15" s="783">
        <v>95545</v>
      </c>
      <c r="C15" s="783">
        <v>89860</v>
      </c>
      <c r="D15" s="783">
        <v>85190</v>
      </c>
      <c r="E15" s="783">
        <v>81398</v>
      </c>
      <c r="F15" s="783">
        <v>74402</v>
      </c>
    </row>
    <row r="16" spans="1:6" s="781" customFormat="1" x14ac:dyDescent="0.25">
      <c r="A16" s="782" t="s">
        <v>399</v>
      </c>
      <c r="B16" s="783">
        <v>127545</v>
      </c>
      <c r="C16" s="783">
        <v>125700</v>
      </c>
      <c r="D16" s="785">
        <v>0</v>
      </c>
      <c r="E16" s="783">
        <v>7543</v>
      </c>
      <c r="F16" s="783">
        <v>25148</v>
      </c>
    </row>
    <row r="17" spans="1:6" s="781" customFormat="1" x14ac:dyDescent="0.25">
      <c r="A17" s="784" t="s">
        <v>400</v>
      </c>
      <c r="B17" s="783">
        <v>127545</v>
      </c>
      <c r="C17" s="783">
        <v>125700</v>
      </c>
      <c r="D17" s="785">
        <v>0</v>
      </c>
      <c r="E17" s="783">
        <v>7543</v>
      </c>
      <c r="F17" s="783">
        <v>25148</v>
      </c>
    </row>
    <row r="18" spans="1:6" s="781" customFormat="1" x14ac:dyDescent="0.25">
      <c r="A18" s="782" t="s">
        <v>401</v>
      </c>
      <c r="B18" s="783">
        <v>117260</v>
      </c>
      <c r="C18" s="783">
        <v>155648</v>
      </c>
      <c r="D18" s="783">
        <v>107757</v>
      </c>
      <c r="E18" s="783">
        <v>87735</v>
      </c>
      <c r="F18" s="783">
        <v>138174</v>
      </c>
    </row>
    <row r="19" spans="1:6" s="781" customFormat="1" x14ac:dyDescent="0.25">
      <c r="A19" s="784" t="s">
        <v>840</v>
      </c>
      <c r="B19" s="785">
        <v>0</v>
      </c>
      <c r="C19" s="785">
        <v>0</v>
      </c>
      <c r="D19" s="786">
        <v>116</v>
      </c>
      <c r="E19" s="785">
        <v>0</v>
      </c>
      <c r="F19" s="785">
        <v>0</v>
      </c>
    </row>
    <row r="20" spans="1:6" s="781" customFormat="1" x14ac:dyDescent="0.25">
      <c r="A20" s="784" t="s">
        <v>402</v>
      </c>
      <c r="B20" s="783">
        <v>117260</v>
      </c>
      <c r="C20" s="783">
        <v>155648</v>
      </c>
      <c r="D20" s="783">
        <v>107641</v>
      </c>
      <c r="E20" s="783">
        <v>87735</v>
      </c>
      <c r="F20" s="783">
        <v>138174</v>
      </c>
    </row>
    <row r="21" spans="1:6" s="781" customFormat="1" x14ac:dyDescent="0.25">
      <c r="A21" s="787" t="s">
        <v>403</v>
      </c>
      <c r="B21" s="788">
        <f>+B13+B16+B18</f>
        <v>349380</v>
      </c>
      <c r="C21" s="788">
        <f>+C13+C16+C18</f>
        <v>380238</v>
      </c>
      <c r="D21" s="788">
        <f>+D13+D16+D18</f>
        <v>201977</v>
      </c>
      <c r="E21" s="788">
        <f>+E13+E16+E18</f>
        <v>185706</v>
      </c>
      <c r="F21" s="788">
        <f>+F13+F16+F18</f>
        <v>246754</v>
      </c>
    </row>
    <row r="22" spans="1:6" s="781" customFormat="1" x14ac:dyDescent="0.25"/>
    <row r="23" spans="1:6" s="781" customFormat="1" x14ac:dyDescent="0.25">
      <c r="A23" s="782" t="s">
        <v>404</v>
      </c>
      <c r="B23" s="786">
        <v>9</v>
      </c>
      <c r="C23" s="786">
        <v>7</v>
      </c>
      <c r="D23" s="786">
        <v>7</v>
      </c>
      <c r="E23" s="786">
        <v>7</v>
      </c>
      <c r="F23" s="786">
        <v>8</v>
      </c>
    </row>
    <row r="24" spans="1:6" s="781" customFormat="1" x14ac:dyDescent="0.25"/>
    <row r="25" spans="1:6" s="781" customFormat="1" x14ac:dyDescent="0.25">
      <c r="A25" s="782" t="s">
        <v>405</v>
      </c>
      <c r="B25" s="780">
        <v>2011</v>
      </c>
      <c r="C25" s="780">
        <v>2010</v>
      </c>
      <c r="D25" s="780">
        <v>2009</v>
      </c>
      <c r="E25" s="780">
        <v>2008</v>
      </c>
      <c r="F25" s="780">
        <v>20007</v>
      </c>
    </row>
    <row r="26" spans="1:6" s="781" customFormat="1" x14ac:dyDescent="0.25">
      <c r="B26" s="780" t="s">
        <v>387</v>
      </c>
      <c r="C26" s="780" t="s">
        <v>387</v>
      </c>
      <c r="D26" s="780" t="s">
        <v>387</v>
      </c>
      <c r="E26" s="780" t="s">
        <v>387</v>
      </c>
      <c r="F26" s="780" t="s">
        <v>387</v>
      </c>
    </row>
    <row r="27" spans="1:6" s="781" customFormat="1" x14ac:dyDescent="0.25">
      <c r="A27" s="787" t="s">
        <v>372</v>
      </c>
      <c r="B27" s="788">
        <v>496680</v>
      </c>
      <c r="C27" s="788">
        <v>344817</v>
      </c>
      <c r="D27" s="788">
        <v>335878</v>
      </c>
      <c r="E27" s="788">
        <v>394694</v>
      </c>
      <c r="F27" s="788">
        <v>401638</v>
      </c>
    </row>
    <row r="28" spans="1:6" s="781" customFormat="1" x14ac:dyDescent="0.25">
      <c r="A28" s="782" t="s">
        <v>406</v>
      </c>
      <c r="B28" s="783">
        <v>271499</v>
      </c>
      <c r="C28" s="783">
        <v>140877</v>
      </c>
      <c r="D28" s="783">
        <v>118161</v>
      </c>
      <c r="E28" s="783">
        <v>196196</v>
      </c>
      <c r="F28" s="783">
        <v>191003</v>
      </c>
    </row>
    <row r="29" spans="1:6" s="781" customFormat="1" x14ac:dyDescent="0.25">
      <c r="A29" s="787" t="s">
        <v>149</v>
      </c>
      <c r="B29" s="788">
        <f>+B27-B28</f>
        <v>225181</v>
      </c>
      <c r="C29" s="788">
        <f>+C27-C28</f>
        <v>203940</v>
      </c>
      <c r="D29" s="788">
        <f>+D27-D28</f>
        <v>217717</v>
      </c>
      <c r="E29" s="788">
        <f>+E27-E28</f>
        <v>198498</v>
      </c>
      <c r="F29" s="788">
        <f>+F27-F28</f>
        <v>210635</v>
      </c>
    </row>
    <row r="30" spans="1:6" s="781" customFormat="1" x14ac:dyDescent="0.25">
      <c r="A30" s="782" t="s">
        <v>407</v>
      </c>
      <c r="B30" s="783">
        <v>154302</v>
      </c>
      <c r="C30" s="783">
        <v>158912</v>
      </c>
      <c r="D30" s="783">
        <v>158187</v>
      </c>
      <c r="E30" s="783">
        <v>155358</v>
      </c>
      <c r="F30" s="783">
        <v>127430</v>
      </c>
    </row>
    <row r="31" spans="1:6" s="781" customFormat="1" x14ac:dyDescent="0.25">
      <c r="A31" s="782" t="s">
        <v>408</v>
      </c>
      <c r="B31" s="783">
        <f>+B29-B30-B32-B33</f>
        <v>42413</v>
      </c>
      <c r="C31" s="783">
        <f>+C29-C30-C32-C33</f>
        <v>24016</v>
      </c>
      <c r="D31" s="783">
        <f>+D29-D30-D32-D33</f>
        <v>44060</v>
      </c>
      <c r="E31" s="783">
        <f>+E29-E30-E32-E33</f>
        <v>24570</v>
      </c>
      <c r="F31" s="783">
        <f>+F29-F30-F32-F33</f>
        <v>60702</v>
      </c>
    </row>
    <row r="32" spans="1:6" s="781" customFormat="1" ht="16.5" thickBot="1" x14ac:dyDescent="0.3">
      <c r="A32" s="782" t="s">
        <v>409</v>
      </c>
      <c r="B32" s="783">
        <v>21353</v>
      </c>
      <c r="C32" s="783">
        <v>15040</v>
      </c>
      <c r="D32" s="783">
        <v>10704</v>
      </c>
      <c r="E32" s="783">
        <v>9616</v>
      </c>
      <c r="F32" s="783">
        <v>9683</v>
      </c>
    </row>
    <row r="33" spans="1:16" s="781" customFormat="1" ht="16.5" thickBot="1" x14ac:dyDescent="0.3">
      <c r="A33" s="789" t="s">
        <v>62</v>
      </c>
      <c r="B33" s="790">
        <v>7113</v>
      </c>
      <c r="C33" s="790">
        <v>5972</v>
      </c>
      <c r="D33" s="790">
        <v>4766</v>
      </c>
      <c r="E33" s="790">
        <v>8954</v>
      </c>
      <c r="F33" s="791">
        <v>12820</v>
      </c>
    </row>
    <row r="34" spans="1:16" s="781" customFormat="1" x14ac:dyDescent="0.25">
      <c r="A34" s="782" t="s">
        <v>410</v>
      </c>
      <c r="B34" s="785">
        <v>0</v>
      </c>
      <c r="C34" s="785">
        <v>0</v>
      </c>
      <c r="D34" s="785">
        <v>0</v>
      </c>
      <c r="E34" s="785">
        <v>0</v>
      </c>
      <c r="F34" s="785">
        <v>0</v>
      </c>
    </row>
    <row r="35" spans="1:16" s="781" customFormat="1" x14ac:dyDescent="0.25">
      <c r="A35" s="782" t="s">
        <v>411</v>
      </c>
      <c r="B35" s="786">
        <v>7</v>
      </c>
      <c r="C35" s="786">
        <v>135</v>
      </c>
      <c r="D35" s="786">
        <v>849</v>
      </c>
      <c r="E35" s="783">
        <v>1234</v>
      </c>
      <c r="F35" s="786">
        <v>666</v>
      </c>
    </row>
    <row r="36" spans="1:16" s="781" customFormat="1" x14ac:dyDescent="0.25">
      <c r="A36" s="782" t="s">
        <v>412</v>
      </c>
      <c r="B36" s="786">
        <v>-7</v>
      </c>
      <c r="C36" s="786">
        <v>-135</v>
      </c>
      <c r="D36" s="786">
        <v>-849</v>
      </c>
      <c r="E36" s="783">
        <v>-1234</v>
      </c>
      <c r="F36" s="786">
        <v>-666</v>
      </c>
    </row>
    <row r="37" spans="1:16" s="781" customFormat="1" x14ac:dyDescent="0.25">
      <c r="A37" s="782" t="s">
        <v>413</v>
      </c>
      <c r="B37" s="783">
        <v>7106</v>
      </c>
      <c r="C37" s="783">
        <v>5837</v>
      </c>
      <c r="D37" s="783">
        <v>3917</v>
      </c>
      <c r="E37" s="783">
        <v>7720</v>
      </c>
      <c r="F37" s="783">
        <v>12154</v>
      </c>
    </row>
    <row r="38" spans="1:16" s="781" customFormat="1" x14ac:dyDescent="0.25">
      <c r="A38" s="782" t="s">
        <v>414</v>
      </c>
      <c r="B38" s="783">
        <v>1421</v>
      </c>
      <c r="C38" s="783">
        <v>1167</v>
      </c>
      <c r="D38" s="786">
        <v>783</v>
      </c>
      <c r="E38" s="783">
        <v>1930</v>
      </c>
      <c r="F38" s="783">
        <v>3038</v>
      </c>
    </row>
    <row r="39" spans="1:16" s="781" customFormat="1" x14ac:dyDescent="0.25">
      <c r="A39" s="787" t="s">
        <v>415</v>
      </c>
      <c r="B39" s="788">
        <v>5685</v>
      </c>
      <c r="C39" s="788">
        <v>4670</v>
      </c>
      <c r="D39" s="788">
        <v>3134</v>
      </c>
      <c r="E39" s="788">
        <v>5790</v>
      </c>
      <c r="F39" s="788">
        <v>9115</v>
      </c>
    </row>
    <row r="40" spans="1:16" s="781" customFormat="1" ht="3" customHeight="1" x14ac:dyDescent="0.25">
      <c r="A40" s="787"/>
      <c r="B40" s="788">
        <v>5</v>
      </c>
      <c r="C40" s="788">
        <v>4</v>
      </c>
      <c r="D40" s="788">
        <v>3</v>
      </c>
      <c r="E40" s="788">
        <v>2</v>
      </c>
      <c r="F40" s="788">
        <v>1</v>
      </c>
      <c r="G40" s="792">
        <f>SUM(B40:F40)</f>
        <v>15</v>
      </c>
    </row>
    <row r="41" spans="1:16" s="781" customFormat="1" x14ac:dyDescent="0.25"/>
    <row r="42" spans="1:16" s="781" customFormat="1" x14ac:dyDescent="0.25">
      <c r="A42" s="781" t="s">
        <v>416</v>
      </c>
      <c r="B42" s="793">
        <f>+B29/B27</f>
        <v>0.45337239268744461</v>
      </c>
      <c r="C42" s="793">
        <f>+C29/C27</f>
        <v>0.59144415733563016</v>
      </c>
      <c r="D42" s="793">
        <f>+D29/D27</f>
        <v>0.64820262118983674</v>
      </c>
      <c r="E42" s="793">
        <f>+E29/E27</f>
        <v>0.50291618316974673</v>
      </c>
      <c r="F42" s="793">
        <f>+F29/F27</f>
        <v>0.52443991853360494</v>
      </c>
    </row>
    <row r="43" spans="1:16" s="781" customFormat="1" ht="16.5" thickBot="1" x14ac:dyDescent="0.3"/>
    <row r="44" spans="1:16" s="781" customFormat="1" x14ac:dyDescent="0.25">
      <c r="A44" s="794"/>
      <c r="B44" s="795" t="s">
        <v>417</v>
      </c>
      <c r="C44" s="795" t="s">
        <v>336</v>
      </c>
      <c r="D44" s="795" t="s">
        <v>417</v>
      </c>
      <c r="E44" s="795"/>
      <c r="F44" s="795"/>
      <c r="G44" s="796"/>
    </row>
    <row r="45" spans="1:16" s="781" customFormat="1" ht="16.5" thickBot="1" x14ac:dyDescent="0.3">
      <c r="A45" s="797" t="s">
        <v>281</v>
      </c>
      <c r="B45" s="798">
        <f>+AVERAGE(B33:F33)</f>
        <v>7925</v>
      </c>
      <c r="C45" s="798">
        <f>+MEDIAN(B33:F33)</f>
        <v>7113</v>
      </c>
      <c r="D45" s="799">
        <f>+SUMPRODUCT(B40:F40,B33:F33)/(G40)</f>
        <v>6965.2666666666664</v>
      </c>
      <c r="E45" s="800"/>
      <c r="F45" s="800"/>
      <c r="G45" s="801"/>
    </row>
    <row r="46" spans="1:16" s="781" customFormat="1" x14ac:dyDescent="0.25"/>
    <row r="47" spans="1:16" x14ac:dyDescent="0.25">
      <c r="H47" s="781"/>
      <c r="I47" s="781"/>
      <c r="J47" s="781"/>
      <c r="K47" s="781"/>
      <c r="L47" s="781"/>
      <c r="P47" s="818" t="e">
        <f>+#REF!+#REF!</f>
        <v>#REF!</v>
      </c>
    </row>
    <row r="48" spans="1:16" x14ac:dyDescent="0.25">
      <c r="A48" s="819" t="s">
        <v>425</v>
      </c>
      <c r="H48" s="781"/>
      <c r="I48" s="781"/>
      <c r="J48" s="781"/>
      <c r="K48" s="781"/>
      <c r="L48" s="781"/>
      <c r="P48" s="818"/>
    </row>
    <row r="49" spans="1:12" x14ac:dyDescent="0.25">
      <c r="A49" s="819" t="s">
        <v>839</v>
      </c>
      <c r="H49" s="781"/>
      <c r="I49" s="781"/>
      <c r="J49" s="781"/>
      <c r="K49" s="781"/>
      <c r="L49" s="781"/>
    </row>
    <row r="50" spans="1:12" ht="16.5" thickBot="1" x14ac:dyDescent="0.3">
      <c r="A50" s="819" t="s">
        <v>843</v>
      </c>
      <c r="C50" s="813" t="s">
        <v>841</v>
      </c>
      <c r="D50" s="813" t="s">
        <v>842</v>
      </c>
      <c r="H50" s="781"/>
    </row>
    <row r="51" spans="1:12" s="830" customFormat="1" ht="16.5" thickBot="1" x14ac:dyDescent="0.3">
      <c r="A51" s="832" t="s">
        <v>140</v>
      </c>
      <c r="B51" s="833"/>
      <c r="C51" s="834"/>
      <c r="D51" s="835"/>
      <c r="H51" s="831"/>
    </row>
    <row r="52" spans="1:12" ht="17.25" thickTop="1" thickBot="1" x14ac:dyDescent="0.3">
      <c r="A52" s="836" t="s">
        <v>427</v>
      </c>
      <c r="B52" s="777">
        <v>30000</v>
      </c>
      <c r="C52" s="822"/>
      <c r="D52" s="822">
        <f>+B52</f>
        <v>30000</v>
      </c>
      <c r="E52" s="813" t="s">
        <v>844</v>
      </c>
      <c r="H52" s="781"/>
    </row>
    <row r="53" spans="1:12" ht="17.25" thickTop="1" thickBot="1" x14ac:dyDescent="0.3">
      <c r="A53" s="837" t="s">
        <v>428</v>
      </c>
      <c r="B53" s="777">
        <v>15000</v>
      </c>
      <c r="C53" s="822">
        <v>15000</v>
      </c>
      <c r="D53" s="823"/>
      <c r="H53" s="781"/>
    </row>
    <row r="54" spans="1:12" ht="17.25" thickTop="1" thickBot="1" x14ac:dyDescent="0.3">
      <c r="A54" s="837" t="s">
        <v>429</v>
      </c>
      <c r="B54" s="777">
        <v>6000</v>
      </c>
      <c r="C54" s="822">
        <v>6000</v>
      </c>
      <c r="D54" s="823"/>
      <c r="H54" s="781"/>
    </row>
    <row r="55" spans="1:12" ht="17.25" thickTop="1" thickBot="1" x14ac:dyDescent="0.3">
      <c r="A55" s="837" t="s">
        <v>430</v>
      </c>
      <c r="B55" s="777">
        <v>2000</v>
      </c>
      <c r="C55" s="822">
        <v>2000</v>
      </c>
      <c r="D55" s="823"/>
      <c r="H55" s="781"/>
    </row>
    <row r="56" spans="1:12" ht="17.25" thickTop="1" thickBot="1" x14ac:dyDescent="0.3">
      <c r="A56" s="837" t="s">
        <v>431</v>
      </c>
      <c r="B56" s="777">
        <v>4500</v>
      </c>
      <c r="C56" s="822">
        <v>4500</v>
      </c>
      <c r="D56" s="823"/>
      <c r="H56" s="781"/>
    </row>
    <row r="57" spans="1:12" ht="17.25" thickTop="1" thickBot="1" x14ac:dyDescent="0.3">
      <c r="A57" s="837" t="s">
        <v>432</v>
      </c>
      <c r="B57" s="777">
        <v>12000</v>
      </c>
      <c r="C57" s="822"/>
      <c r="D57" s="822">
        <f>+B57</f>
        <v>12000</v>
      </c>
      <c r="E57" s="813" t="s">
        <v>845</v>
      </c>
      <c r="H57" s="781"/>
    </row>
    <row r="58" spans="1:12" ht="17.25" thickTop="1" thickBot="1" x14ac:dyDescent="0.3">
      <c r="A58" s="837" t="s">
        <v>433</v>
      </c>
      <c r="B58" s="777">
        <v>30000</v>
      </c>
      <c r="C58" s="822">
        <v>30000</v>
      </c>
      <c r="D58" s="823"/>
    </row>
    <row r="59" spans="1:12" ht="33" thickTop="1" thickBot="1" x14ac:dyDescent="0.3">
      <c r="A59" s="837" t="s">
        <v>434</v>
      </c>
      <c r="B59" s="777">
        <v>19000</v>
      </c>
      <c r="C59" s="822">
        <v>19000</v>
      </c>
      <c r="D59" s="823"/>
    </row>
    <row r="60" spans="1:12" ht="17.25" thickTop="1" thickBot="1" x14ac:dyDescent="0.3">
      <c r="A60" s="837" t="s">
        <v>435</v>
      </c>
      <c r="B60" s="777">
        <v>20000</v>
      </c>
      <c r="C60" s="822">
        <v>20000</v>
      </c>
      <c r="D60" s="823"/>
    </row>
    <row r="61" spans="1:12" ht="17.25" thickTop="1" thickBot="1" x14ac:dyDescent="0.3">
      <c r="A61" s="837" t="s">
        <v>436</v>
      </c>
      <c r="B61" s="777">
        <v>15000</v>
      </c>
      <c r="C61" s="822">
        <f>+B61</f>
        <v>15000</v>
      </c>
      <c r="D61" s="823"/>
    </row>
    <row r="62" spans="1:12" ht="40.5" customHeight="1" thickTop="1" thickBot="1" x14ac:dyDescent="0.3">
      <c r="A62" s="837" t="s">
        <v>437</v>
      </c>
      <c r="B62" s="778"/>
      <c r="C62" s="822">
        <f>+E62</f>
        <v>16941.176470588234</v>
      </c>
      <c r="D62" s="823" t="s">
        <v>438</v>
      </c>
      <c r="E62" s="813">
        <f>1440/8.5%</f>
        <v>16941.176470588234</v>
      </c>
    </row>
    <row r="63" spans="1:12" ht="17.25" thickTop="1" thickBot="1" x14ac:dyDescent="0.3">
      <c r="A63" s="837" t="s">
        <v>846</v>
      </c>
      <c r="B63" s="778"/>
      <c r="C63" s="822">
        <f>225181/276*7</f>
        <v>5711.11231884058</v>
      </c>
      <c r="D63" s="823" t="s">
        <v>847</v>
      </c>
    </row>
    <row r="64" spans="1:12" ht="17.25" thickTop="1" thickBot="1" x14ac:dyDescent="0.3">
      <c r="A64" s="838" t="s">
        <v>439</v>
      </c>
      <c r="B64" s="777">
        <v>4000</v>
      </c>
      <c r="C64" s="822">
        <v>4000</v>
      </c>
      <c r="D64" s="823"/>
    </row>
    <row r="65" spans="1:8" ht="17.25" thickTop="1" thickBot="1" x14ac:dyDescent="0.3">
      <c r="A65" s="838" t="s">
        <v>440</v>
      </c>
      <c r="B65" s="777">
        <v>2000</v>
      </c>
      <c r="C65" s="822">
        <v>14117.6</v>
      </c>
      <c r="D65" s="823" t="s">
        <v>438</v>
      </c>
      <c r="E65" s="813">
        <f>1200/0.085</f>
        <v>14117.647058823528</v>
      </c>
    </row>
    <row r="66" spans="1:8" ht="17.25" thickTop="1" thickBot="1" x14ac:dyDescent="0.3">
      <c r="A66" s="839" t="s">
        <v>442</v>
      </c>
      <c r="B66" s="824">
        <v>2300</v>
      </c>
      <c r="C66" s="822">
        <f>+I88</f>
        <v>0</v>
      </c>
      <c r="D66" s="823">
        <v>2300</v>
      </c>
    </row>
    <row r="67" spans="1:8" ht="17.25" thickTop="1" thickBot="1" x14ac:dyDescent="0.3">
      <c r="A67" s="838" t="s">
        <v>441</v>
      </c>
      <c r="B67" s="777">
        <v>5000</v>
      </c>
      <c r="C67" s="822">
        <v>5000</v>
      </c>
      <c r="D67" s="823"/>
    </row>
    <row r="68" spans="1:8" ht="17.25" thickTop="1" thickBot="1" x14ac:dyDescent="0.3">
      <c r="A68" s="840" t="s">
        <v>61</v>
      </c>
      <c r="B68" s="820"/>
      <c r="C68" s="841">
        <f>+B95</f>
        <v>220862.41355415998</v>
      </c>
      <c r="D68" s="821"/>
      <c r="H68" s="781"/>
    </row>
    <row r="69" spans="1:8" ht="17.25" thickTop="1" thickBot="1" x14ac:dyDescent="0.3">
      <c r="A69" s="839"/>
      <c r="B69" s="824"/>
      <c r="C69" s="822"/>
      <c r="D69" s="823"/>
    </row>
    <row r="70" spans="1:8" ht="16.5" thickBot="1" x14ac:dyDescent="0.3">
      <c r="A70" s="825" t="s">
        <v>191</v>
      </c>
      <c r="B70" s="826"/>
      <c r="C70" s="827">
        <f>SUM(C51:C69)</f>
        <v>378132.30234358879</v>
      </c>
      <c r="D70" s="828">
        <f>SUM(D51:D69)</f>
        <v>44300</v>
      </c>
    </row>
    <row r="71" spans="1:8" x14ac:dyDescent="0.25">
      <c r="A71" s="813" t="s">
        <v>848</v>
      </c>
    </row>
    <row r="72" spans="1:8" ht="16.5" thickBot="1" x14ac:dyDescent="0.3">
      <c r="B72" s="802"/>
      <c r="C72" s="781"/>
      <c r="D72" s="781"/>
      <c r="E72" s="781"/>
      <c r="F72" s="781"/>
      <c r="G72" s="781"/>
    </row>
    <row r="73" spans="1:8" ht="17.25" thickTop="1" thickBot="1" x14ac:dyDescent="0.3">
      <c r="A73" s="840" t="s">
        <v>61</v>
      </c>
      <c r="B73" s="802" t="s">
        <v>419</v>
      </c>
      <c r="C73" s="781"/>
      <c r="D73" s="781"/>
      <c r="E73" s="781"/>
      <c r="F73" s="781"/>
      <c r="G73" s="781"/>
    </row>
    <row r="74" spans="1:8" ht="16.5" thickTop="1" x14ac:dyDescent="0.25">
      <c r="A74" s="803" t="s">
        <v>340</v>
      </c>
      <c r="B74" s="804">
        <v>2012</v>
      </c>
      <c r="C74" s="804">
        <f>+B74+1</f>
        <v>2013</v>
      </c>
      <c r="D74" s="804">
        <f>+C74+1</f>
        <v>2014</v>
      </c>
      <c r="E74" s="804">
        <f>+D74+1</f>
        <v>2015</v>
      </c>
      <c r="F74" s="804">
        <f>+E74+1</f>
        <v>2016</v>
      </c>
      <c r="G74" s="804" t="s">
        <v>341</v>
      </c>
    </row>
    <row r="75" spans="1:8" x14ac:dyDescent="0.25">
      <c r="A75" s="805" t="s">
        <v>256</v>
      </c>
      <c r="B75" s="806">
        <v>0.02</v>
      </c>
      <c r="C75" s="806">
        <v>0.02</v>
      </c>
      <c r="D75" s="806">
        <v>0.02</v>
      </c>
      <c r="E75" s="806">
        <v>0.02</v>
      </c>
      <c r="F75" s="806">
        <v>0.02</v>
      </c>
      <c r="G75" s="806">
        <v>0.02</v>
      </c>
    </row>
    <row r="76" spans="1:8" x14ac:dyDescent="0.25">
      <c r="A76" s="805" t="s">
        <v>849</v>
      </c>
      <c r="B76" s="809">
        <f>+B29*0.4</f>
        <v>90072.400000000009</v>
      </c>
      <c r="C76" s="809">
        <f>+B76*(1+C75)</f>
        <v>91873.848000000013</v>
      </c>
      <c r="D76" s="809">
        <f t="shared" ref="D76:F76" si="0">+C76*(1+D75)</f>
        <v>93711.324960000013</v>
      </c>
      <c r="E76" s="809">
        <f t="shared" si="0"/>
        <v>95585.551459200011</v>
      </c>
      <c r="F76" s="809">
        <f t="shared" si="0"/>
        <v>97497.262488384018</v>
      </c>
      <c r="G76" s="809">
        <f>+F76/(B93-G75)</f>
        <v>1147026.6175104002</v>
      </c>
    </row>
    <row r="77" spans="1:8" ht="16.5" thickBot="1" x14ac:dyDescent="0.3">
      <c r="A77" s="805" t="s">
        <v>443</v>
      </c>
      <c r="B77" s="829">
        <v>1</v>
      </c>
      <c r="C77" s="829">
        <v>0.8</v>
      </c>
      <c r="D77" s="829">
        <v>0.6</v>
      </c>
      <c r="E77" s="829">
        <v>0.4</v>
      </c>
      <c r="F77" s="829">
        <v>0.2</v>
      </c>
      <c r="G77" s="806">
        <v>0</v>
      </c>
    </row>
    <row r="78" spans="1:8" x14ac:dyDescent="0.25">
      <c r="A78" s="807" t="s">
        <v>343</v>
      </c>
      <c r="B78" s="804">
        <v>2012</v>
      </c>
      <c r="C78" s="804">
        <f>+B78+1</f>
        <v>2013</v>
      </c>
      <c r="D78" s="804">
        <f>+C78+1</f>
        <v>2014</v>
      </c>
      <c r="E78" s="804">
        <f>+D78+1</f>
        <v>2015</v>
      </c>
      <c r="F78" s="804">
        <f>+E78+1</f>
        <v>2016</v>
      </c>
      <c r="G78" s="804" t="s">
        <v>341</v>
      </c>
    </row>
    <row r="79" spans="1:8" x14ac:dyDescent="0.25">
      <c r="A79" s="808" t="s">
        <v>849</v>
      </c>
      <c r="B79" s="809">
        <f>+B76*B77</f>
        <v>90072.400000000009</v>
      </c>
      <c r="C79" s="809">
        <f t="shared" ref="C79:G79" si="1">+C76*C77</f>
        <v>73499.078400000013</v>
      </c>
      <c r="D79" s="809">
        <f t="shared" si="1"/>
        <v>56226.794976000005</v>
      </c>
      <c r="E79" s="809">
        <f t="shared" si="1"/>
        <v>38234.220583680006</v>
      </c>
      <c r="F79" s="809">
        <f t="shared" si="1"/>
        <v>19499.452497676804</v>
      </c>
      <c r="G79" s="809">
        <f t="shared" si="1"/>
        <v>0</v>
      </c>
    </row>
    <row r="80" spans="1:8" x14ac:dyDescent="0.25">
      <c r="A80" s="808" t="s">
        <v>282</v>
      </c>
      <c r="B80" s="809"/>
      <c r="C80" s="809"/>
      <c r="D80" s="809"/>
      <c r="E80" s="809"/>
      <c r="F80" s="809"/>
      <c r="G80" s="809"/>
    </row>
    <row r="81" spans="1:7" x14ac:dyDescent="0.25">
      <c r="A81" s="808" t="s">
        <v>420</v>
      </c>
      <c r="B81" s="809"/>
      <c r="C81" s="809"/>
      <c r="D81" s="809"/>
      <c r="E81" s="809"/>
      <c r="F81" s="809"/>
      <c r="G81" s="809"/>
    </row>
    <row r="82" spans="1:7" x14ac:dyDescent="0.25">
      <c r="A82" s="810" t="s">
        <v>80</v>
      </c>
      <c r="B82" s="811">
        <f t="shared" ref="B82:G82" si="2">+B79+B80</f>
        <v>90072.400000000009</v>
      </c>
      <c r="C82" s="811">
        <f t="shared" si="2"/>
        <v>73499.078400000013</v>
      </c>
      <c r="D82" s="811">
        <f t="shared" si="2"/>
        <v>56226.794976000005</v>
      </c>
      <c r="E82" s="811">
        <f t="shared" si="2"/>
        <v>38234.220583680006</v>
      </c>
      <c r="F82" s="811">
        <f t="shared" si="2"/>
        <v>19499.452497676804</v>
      </c>
      <c r="G82" s="811">
        <f t="shared" si="2"/>
        <v>0</v>
      </c>
    </row>
    <row r="83" spans="1:7" x14ac:dyDescent="0.25">
      <c r="A83" s="808" t="s">
        <v>421</v>
      </c>
      <c r="B83" s="809"/>
      <c r="C83" s="809"/>
      <c r="D83" s="809"/>
      <c r="E83" s="809"/>
      <c r="F83" s="809"/>
      <c r="G83" s="809"/>
    </row>
    <row r="84" spans="1:7" x14ac:dyDescent="0.25">
      <c r="A84" s="808" t="s">
        <v>284</v>
      </c>
      <c r="B84" s="809"/>
      <c r="C84" s="809"/>
      <c r="D84" s="809"/>
      <c r="E84" s="809"/>
      <c r="F84" s="809"/>
      <c r="G84" s="809"/>
    </row>
    <row r="85" spans="1:7" x14ac:dyDescent="0.25">
      <c r="A85" s="807" t="s">
        <v>422</v>
      </c>
      <c r="B85" s="812">
        <f t="shared" ref="B85:G85" si="3">SUM(B82:B84)</f>
        <v>90072.400000000009</v>
      </c>
      <c r="C85" s="812">
        <f t="shared" si="3"/>
        <v>73499.078400000013</v>
      </c>
      <c r="D85" s="812">
        <f t="shared" si="3"/>
        <v>56226.794976000005</v>
      </c>
      <c r="E85" s="812">
        <f t="shared" si="3"/>
        <v>38234.220583680006</v>
      </c>
      <c r="F85" s="812">
        <f t="shared" si="3"/>
        <v>19499.452497676804</v>
      </c>
      <c r="G85" s="812">
        <f t="shared" si="3"/>
        <v>0</v>
      </c>
    </row>
    <row r="86" spans="1:7" x14ac:dyDescent="0.25">
      <c r="A86" s="707" t="s">
        <v>423</v>
      </c>
      <c r="B86" s="708">
        <v>0</v>
      </c>
      <c r="C86" s="708">
        <v>0</v>
      </c>
      <c r="D86" s="708">
        <v>0</v>
      </c>
      <c r="E86" s="708">
        <v>0</v>
      </c>
      <c r="F86" s="708">
        <v>0</v>
      </c>
      <c r="G86" s="708">
        <v>0</v>
      </c>
    </row>
    <row r="87" spans="1:7" x14ac:dyDescent="0.25">
      <c r="A87" s="807" t="s">
        <v>424</v>
      </c>
      <c r="B87" s="812">
        <f t="shared" ref="B87:G87" si="4">+B85+B86</f>
        <v>90072.400000000009</v>
      </c>
      <c r="C87" s="812">
        <f t="shared" si="4"/>
        <v>73499.078400000013</v>
      </c>
      <c r="D87" s="812">
        <f t="shared" si="4"/>
        <v>56226.794976000005</v>
      </c>
      <c r="E87" s="812">
        <f t="shared" si="4"/>
        <v>38234.220583680006</v>
      </c>
      <c r="F87" s="812">
        <f t="shared" si="4"/>
        <v>19499.452497676804</v>
      </c>
      <c r="G87" s="812">
        <f t="shared" si="4"/>
        <v>0</v>
      </c>
    </row>
    <row r="88" spans="1:7" x14ac:dyDescent="0.25">
      <c r="A88" s="808"/>
      <c r="B88" s="808"/>
      <c r="C88" s="808"/>
      <c r="D88" s="808"/>
      <c r="E88" s="808"/>
      <c r="F88" s="808"/>
      <c r="G88" s="808"/>
    </row>
    <row r="89" spans="1:7" x14ac:dyDescent="0.25">
      <c r="A89" s="808" t="s">
        <v>260</v>
      </c>
      <c r="B89" s="814">
        <v>0.05</v>
      </c>
      <c r="C89" s="814">
        <v>0.05</v>
      </c>
      <c r="D89" s="814">
        <v>0.05</v>
      </c>
      <c r="E89" s="814">
        <v>0.05</v>
      </c>
      <c r="F89" s="814">
        <v>0.05</v>
      </c>
      <c r="G89" s="814">
        <v>0.05</v>
      </c>
    </row>
    <row r="90" spans="1:7" x14ac:dyDescent="0.25">
      <c r="A90" s="808" t="s">
        <v>276</v>
      </c>
      <c r="B90" s="815">
        <v>0.105</v>
      </c>
      <c r="C90" s="815">
        <v>0.105</v>
      </c>
      <c r="D90" s="815">
        <v>0.105</v>
      </c>
      <c r="E90" s="815">
        <v>0.105</v>
      </c>
      <c r="F90" s="815">
        <v>0.105</v>
      </c>
      <c r="G90" s="815">
        <v>0.105</v>
      </c>
    </row>
    <row r="91" spans="1:7" x14ac:dyDescent="0.25">
      <c r="A91" s="808" t="s">
        <v>344</v>
      </c>
      <c r="B91" s="816">
        <v>1</v>
      </c>
      <c r="C91" s="814"/>
      <c r="D91" s="814"/>
      <c r="E91" s="814"/>
      <c r="F91" s="814"/>
      <c r="G91" s="814"/>
    </row>
    <row r="92" spans="1:7" x14ac:dyDescent="0.25">
      <c r="A92" s="808" t="s">
        <v>345</v>
      </c>
      <c r="B92" s="814">
        <f>100%-B91</f>
        <v>0</v>
      </c>
      <c r="C92" s="814"/>
      <c r="D92" s="814"/>
      <c r="E92" s="814"/>
      <c r="F92" s="814"/>
      <c r="G92" s="814"/>
    </row>
    <row r="93" spans="1:7" x14ac:dyDescent="0.25">
      <c r="A93" s="807" t="s">
        <v>278</v>
      </c>
      <c r="B93" s="817">
        <f>+B90</f>
        <v>0.105</v>
      </c>
      <c r="C93" s="817"/>
      <c r="D93" s="817"/>
      <c r="E93" s="817"/>
      <c r="F93" s="817"/>
      <c r="G93" s="817"/>
    </row>
    <row r="94" spans="1:7" x14ac:dyDescent="0.25">
      <c r="B94" s="781"/>
      <c r="C94" s="781"/>
      <c r="D94" s="781"/>
      <c r="E94" s="781"/>
    </row>
    <row r="95" spans="1:7" x14ac:dyDescent="0.25">
      <c r="A95" s="813" t="s">
        <v>418</v>
      </c>
      <c r="B95" s="842">
        <f>NPV(B93,B85:G85)</f>
        <v>220862.41355415998</v>
      </c>
      <c r="C95" s="781"/>
      <c r="D95" s="781"/>
      <c r="E95" s="78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"/>
  <sheetViews>
    <sheetView showGridLines="0" workbookViewId="0">
      <selection activeCell="L7" sqref="L7"/>
    </sheetView>
  </sheetViews>
  <sheetFormatPr baseColWidth="10" defaultColWidth="11.42578125" defaultRowHeight="15" x14ac:dyDescent="0.25"/>
  <cols>
    <col min="1" max="1" width="1.28515625" style="202" customWidth="1"/>
    <col min="2" max="2" width="36.7109375" style="202" customWidth="1"/>
    <col min="3" max="3" width="12.42578125" style="202" customWidth="1"/>
    <col min="4" max="4" width="8.28515625" style="202" customWidth="1"/>
    <col min="5" max="13" width="6.42578125" style="202" bestFit="1" customWidth="1"/>
    <col min="14" max="14" width="12.28515625" style="202" customWidth="1"/>
    <col min="15" max="256" width="11.42578125" style="202"/>
    <col min="257" max="257" width="1.28515625" style="202" customWidth="1"/>
    <col min="258" max="258" width="36.7109375" style="202" customWidth="1"/>
    <col min="259" max="259" width="10.7109375" style="202" bestFit="1" customWidth="1"/>
    <col min="260" max="269" width="6.85546875" style="202" bestFit="1" customWidth="1"/>
    <col min="270" max="270" width="12.28515625" style="202" customWidth="1"/>
    <col min="271" max="512" width="11.42578125" style="202"/>
    <col min="513" max="513" width="1.28515625" style="202" customWidth="1"/>
    <col min="514" max="514" width="36.7109375" style="202" customWidth="1"/>
    <col min="515" max="515" width="10.7109375" style="202" bestFit="1" customWidth="1"/>
    <col min="516" max="525" width="6.85546875" style="202" bestFit="1" customWidth="1"/>
    <col min="526" max="526" width="12.28515625" style="202" customWidth="1"/>
    <col min="527" max="768" width="11.42578125" style="202"/>
    <col min="769" max="769" width="1.28515625" style="202" customWidth="1"/>
    <col min="770" max="770" width="36.7109375" style="202" customWidth="1"/>
    <col min="771" max="771" width="10.7109375" style="202" bestFit="1" customWidth="1"/>
    <col min="772" max="781" width="6.85546875" style="202" bestFit="1" customWidth="1"/>
    <col min="782" max="782" width="12.28515625" style="202" customWidth="1"/>
    <col min="783" max="1024" width="11.42578125" style="202"/>
    <col min="1025" max="1025" width="1.28515625" style="202" customWidth="1"/>
    <col min="1026" max="1026" width="36.7109375" style="202" customWidth="1"/>
    <col min="1027" max="1027" width="10.7109375" style="202" bestFit="1" customWidth="1"/>
    <col min="1028" max="1037" width="6.85546875" style="202" bestFit="1" customWidth="1"/>
    <col min="1038" max="1038" width="12.28515625" style="202" customWidth="1"/>
    <col min="1039" max="1280" width="11.42578125" style="202"/>
    <col min="1281" max="1281" width="1.28515625" style="202" customWidth="1"/>
    <col min="1282" max="1282" width="36.7109375" style="202" customWidth="1"/>
    <col min="1283" max="1283" width="10.7109375" style="202" bestFit="1" customWidth="1"/>
    <col min="1284" max="1293" width="6.85546875" style="202" bestFit="1" customWidth="1"/>
    <col min="1294" max="1294" width="12.28515625" style="202" customWidth="1"/>
    <col min="1295" max="1536" width="11.42578125" style="202"/>
    <col min="1537" max="1537" width="1.28515625" style="202" customWidth="1"/>
    <col min="1538" max="1538" width="36.7109375" style="202" customWidth="1"/>
    <col min="1539" max="1539" width="10.7109375" style="202" bestFit="1" customWidth="1"/>
    <col min="1540" max="1549" width="6.85546875" style="202" bestFit="1" customWidth="1"/>
    <col min="1550" max="1550" width="12.28515625" style="202" customWidth="1"/>
    <col min="1551" max="1792" width="11.42578125" style="202"/>
    <col min="1793" max="1793" width="1.28515625" style="202" customWidth="1"/>
    <col min="1794" max="1794" width="36.7109375" style="202" customWidth="1"/>
    <col min="1795" max="1795" width="10.7109375" style="202" bestFit="1" customWidth="1"/>
    <col min="1796" max="1805" width="6.85546875" style="202" bestFit="1" customWidth="1"/>
    <col min="1806" max="1806" width="12.28515625" style="202" customWidth="1"/>
    <col min="1807" max="2048" width="11.42578125" style="202"/>
    <col min="2049" max="2049" width="1.28515625" style="202" customWidth="1"/>
    <col min="2050" max="2050" width="36.7109375" style="202" customWidth="1"/>
    <col min="2051" max="2051" width="10.7109375" style="202" bestFit="1" customWidth="1"/>
    <col min="2052" max="2061" width="6.85546875" style="202" bestFit="1" customWidth="1"/>
    <col min="2062" max="2062" width="12.28515625" style="202" customWidth="1"/>
    <col min="2063" max="2304" width="11.42578125" style="202"/>
    <col min="2305" max="2305" width="1.28515625" style="202" customWidth="1"/>
    <col min="2306" max="2306" width="36.7109375" style="202" customWidth="1"/>
    <col min="2307" max="2307" width="10.7109375" style="202" bestFit="1" customWidth="1"/>
    <col min="2308" max="2317" width="6.85546875" style="202" bestFit="1" customWidth="1"/>
    <col min="2318" max="2318" width="12.28515625" style="202" customWidth="1"/>
    <col min="2319" max="2560" width="11.42578125" style="202"/>
    <col min="2561" max="2561" width="1.28515625" style="202" customWidth="1"/>
    <col min="2562" max="2562" width="36.7109375" style="202" customWidth="1"/>
    <col min="2563" max="2563" width="10.7109375" style="202" bestFit="1" customWidth="1"/>
    <col min="2564" max="2573" width="6.85546875" style="202" bestFit="1" customWidth="1"/>
    <col min="2574" max="2574" width="12.28515625" style="202" customWidth="1"/>
    <col min="2575" max="2816" width="11.42578125" style="202"/>
    <col min="2817" max="2817" width="1.28515625" style="202" customWidth="1"/>
    <col min="2818" max="2818" width="36.7109375" style="202" customWidth="1"/>
    <col min="2819" max="2819" width="10.7109375" style="202" bestFit="1" customWidth="1"/>
    <col min="2820" max="2829" width="6.85546875" style="202" bestFit="1" customWidth="1"/>
    <col min="2830" max="2830" width="12.28515625" style="202" customWidth="1"/>
    <col min="2831" max="3072" width="11.42578125" style="202"/>
    <col min="3073" max="3073" width="1.28515625" style="202" customWidth="1"/>
    <col min="3074" max="3074" width="36.7109375" style="202" customWidth="1"/>
    <col min="3075" max="3075" width="10.7109375" style="202" bestFit="1" customWidth="1"/>
    <col min="3076" max="3085" width="6.85546875" style="202" bestFit="1" customWidth="1"/>
    <col min="3086" max="3086" width="12.28515625" style="202" customWidth="1"/>
    <col min="3087" max="3328" width="11.42578125" style="202"/>
    <col min="3329" max="3329" width="1.28515625" style="202" customWidth="1"/>
    <col min="3330" max="3330" width="36.7109375" style="202" customWidth="1"/>
    <col min="3331" max="3331" width="10.7109375" style="202" bestFit="1" customWidth="1"/>
    <col min="3332" max="3341" width="6.85546875" style="202" bestFit="1" customWidth="1"/>
    <col min="3342" max="3342" width="12.28515625" style="202" customWidth="1"/>
    <col min="3343" max="3584" width="11.42578125" style="202"/>
    <col min="3585" max="3585" width="1.28515625" style="202" customWidth="1"/>
    <col min="3586" max="3586" width="36.7109375" style="202" customWidth="1"/>
    <col min="3587" max="3587" width="10.7109375" style="202" bestFit="1" customWidth="1"/>
    <col min="3588" max="3597" width="6.85546875" style="202" bestFit="1" customWidth="1"/>
    <col min="3598" max="3598" width="12.28515625" style="202" customWidth="1"/>
    <col min="3599" max="3840" width="11.42578125" style="202"/>
    <col min="3841" max="3841" width="1.28515625" style="202" customWidth="1"/>
    <col min="3842" max="3842" width="36.7109375" style="202" customWidth="1"/>
    <col min="3843" max="3843" width="10.7109375" style="202" bestFit="1" customWidth="1"/>
    <col min="3844" max="3853" width="6.85546875" style="202" bestFit="1" customWidth="1"/>
    <col min="3854" max="3854" width="12.28515625" style="202" customWidth="1"/>
    <col min="3855" max="4096" width="11.42578125" style="202"/>
    <col min="4097" max="4097" width="1.28515625" style="202" customWidth="1"/>
    <col min="4098" max="4098" width="36.7109375" style="202" customWidth="1"/>
    <col min="4099" max="4099" width="10.7109375" style="202" bestFit="1" customWidth="1"/>
    <col min="4100" max="4109" width="6.85546875" style="202" bestFit="1" customWidth="1"/>
    <col min="4110" max="4110" width="12.28515625" style="202" customWidth="1"/>
    <col min="4111" max="4352" width="11.42578125" style="202"/>
    <col min="4353" max="4353" width="1.28515625" style="202" customWidth="1"/>
    <col min="4354" max="4354" width="36.7109375" style="202" customWidth="1"/>
    <col min="4355" max="4355" width="10.7109375" style="202" bestFit="1" customWidth="1"/>
    <col min="4356" max="4365" width="6.85546875" style="202" bestFit="1" customWidth="1"/>
    <col min="4366" max="4366" width="12.28515625" style="202" customWidth="1"/>
    <col min="4367" max="4608" width="11.42578125" style="202"/>
    <col min="4609" max="4609" width="1.28515625" style="202" customWidth="1"/>
    <col min="4610" max="4610" width="36.7109375" style="202" customWidth="1"/>
    <col min="4611" max="4611" width="10.7109375" style="202" bestFit="1" customWidth="1"/>
    <col min="4612" max="4621" width="6.85546875" style="202" bestFit="1" customWidth="1"/>
    <col min="4622" max="4622" width="12.28515625" style="202" customWidth="1"/>
    <col min="4623" max="4864" width="11.42578125" style="202"/>
    <col min="4865" max="4865" width="1.28515625" style="202" customWidth="1"/>
    <col min="4866" max="4866" width="36.7109375" style="202" customWidth="1"/>
    <col min="4867" max="4867" width="10.7109375" style="202" bestFit="1" customWidth="1"/>
    <col min="4868" max="4877" width="6.85546875" style="202" bestFit="1" customWidth="1"/>
    <col min="4878" max="4878" width="12.28515625" style="202" customWidth="1"/>
    <col min="4879" max="5120" width="11.42578125" style="202"/>
    <col min="5121" max="5121" width="1.28515625" style="202" customWidth="1"/>
    <col min="5122" max="5122" width="36.7109375" style="202" customWidth="1"/>
    <col min="5123" max="5123" width="10.7109375" style="202" bestFit="1" customWidth="1"/>
    <col min="5124" max="5133" width="6.85546875" style="202" bestFit="1" customWidth="1"/>
    <col min="5134" max="5134" width="12.28515625" style="202" customWidth="1"/>
    <col min="5135" max="5376" width="11.42578125" style="202"/>
    <col min="5377" max="5377" width="1.28515625" style="202" customWidth="1"/>
    <col min="5378" max="5378" width="36.7109375" style="202" customWidth="1"/>
    <col min="5379" max="5379" width="10.7109375" style="202" bestFit="1" customWidth="1"/>
    <col min="5380" max="5389" width="6.85546875" style="202" bestFit="1" customWidth="1"/>
    <col min="5390" max="5390" width="12.28515625" style="202" customWidth="1"/>
    <col min="5391" max="5632" width="11.42578125" style="202"/>
    <col min="5633" max="5633" width="1.28515625" style="202" customWidth="1"/>
    <col min="5634" max="5634" width="36.7109375" style="202" customWidth="1"/>
    <col min="5635" max="5635" width="10.7109375" style="202" bestFit="1" customWidth="1"/>
    <col min="5636" max="5645" width="6.85546875" style="202" bestFit="1" customWidth="1"/>
    <col min="5646" max="5646" width="12.28515625" style="202" customWidth="1"/>
    <col min="5647" max="5888" width="11.42578125" style="202"/>
    <col min="5889" max="5889" width="1.28515625" style="202" customWidth="1"/>
    <col min="5890" max="5890" width="36.7109375" style="202" customWidth="1"/>
    <col min="5891" max="5891" width="10.7109375" style="202" bestFit="1" customWidth="1"/>
    <col min="5892" max="5901" width="6.85546875" style="202" bestFit="1" customWidth="1"/>
    <col min="5902" max="5902" width="12.28515625" style="202" customWidth="1"/>
    <col min="5903" max="6144" width="11.42578125" style="202"/>
    <col min="6145" max="6145" width="1.28515625" style="202" customWidth="1"/>
    <col min="6146" max="6146" width="36.7109375" style="202" customWidth="1"/>
    <col min="6147" max="6147" width="10.7109375" style="202" bestFit="1" customWidth="1"/>
    <col min="6148" max="6157" width="6.85546875" style="202" bestFit="1" customWidth="1"/>
    <col min="6158" max="6158" width="12.28515625" style="202" customWidth="1"/>
    <col min="6159" max="6400" width="11.42578125" style="202"/>
    <col min="6401" max="6401" width="1.28515625" style="202" customWidth="1"/>
    <col min="6402" max="6402" width="36.7109375" style="202" customWidth="1"/>
    <col min="6403" max="6403" width="10.7109375" style="202" bestFit="1" customWidth="1"/>
    <col min="6404" max="6413" width="6.85546875" style="202" bestFit="1" customWidth="1"/>
    <col min="6414" max="6414" width="12.28515625" style="202" customWidth="1"/>
    <col min="6415" max="6656" width="11.42578125" style="202"/>
    <col min="6657" max="6657" width="1.28515625" style="202" customWidth="1"/>
    <col min="6658" max="6658" width="36.7109375" style="202" customWidth="1"/>
    <col min="6659" max="6659" width="10.7109375" style="202" bestFit="1" customWidth="1"/>
    <col min="6660" max="6669" width="6.85546875" style="202" bestFit="1" customWidth="1"/>
    <col min="6670" max="6670" width="12.28515625" style="202" customWidth="1"/>
    <col min="6671" max="6912" width="11.42578125" style="202"/>
    <col min="6913" max="6913" width="1.28515625" style="202" customWidth="1"/>
    <col min="6914" max="6914" width="36.7109375" style="202" customWidth="1"/>
    <col min="6915" max="6915" width="10.7109375" style="202" bestFit="1" customWidth="1"/>
    <col min="6916" max="6925" width="6.85546875" style="202" bestFit="1" customWidth="1"/>
    <col min="6926" max="6926" width="12.28515625" style="202" customWidth="1"/>
    <col min="6927" max="7168" width="11.42578125" style="202"/>
    <col min="7169" max="7169" width="1.28515625" style="202" customWidth="1"/>
    <col min="7170" max="7170" width="36.7109375" style="202" customWidth="1"/>
    <col min="7171" max="7171" width="10.7109375" style="202" bestFit="1" customWidth="1"/>
    <col min="7172" max="7181" width="6.85546875" style="202" bestFit="1" customWidth="1"/>
    <col min="7182" max="7182" width="12.28515625" style="202" customWidth="1"/>
    <col min="7183" max="7424" width="11.42578125" style="202"/>
    <col min="7425" max="7425" width="1.28515625" style="202" customWidth="1"/>
    <col min="7426" max="7426" width="36.7109375" style="202" customWidth="1"/>
    <col min="7427" max="7427" width="10.7109375" style="202" bestFit="1" customWidth="1"/>
    <col min="7428" max="7437" width="6.85546875" style="202" bestFit="1" customWidth="1"/>
    <col min="7438" max="7438" width="12.28515625" style="202" customWidth="1"/>
    <col min="7439" max="7680" width="11.42578125" style="202"/>
    <col min="7681" max="7681" width="1.28515625" style="202" customWidth="1"/>
    <col min="7682" max="7682" width="36.7109375" style="202" customWidth="1"/>
    <col min="7683" max="7683" width="10.7109375" style="202" bestFit="1" customWidth="1"/>
    <col min="7684" max="7693" width="6.85546875" style="202" bestFit="1" customWidth="1"/>
    <col min="7694" max="7694" width="12.28515625" style="202" customWidth="1"/>
    <col min="7695" max="7936" width="11.42578125" style="202"/>
    <col min="7937" max="7937" width="1.28515625" style="202" customWidth="1"/>
    <col min="7938" max="7938" width="36.7109375" style="202" customWidth="1"/>
    <col min="7939" max="7939" width="10.7109375" style="202" bestFit="1" customWidth="1"/>
    <col min="7940" max="7949" width="6.85546875" style="202" bestFit="1" customWidth="1"/>
    <col min="7950" max="7950" width="12.28515625" style="202" customWidth="1"/>
    <col min="7951" max="8192" width="11.42578125" style="202"/>
    <col min="8193" max="8193" width="1.28515625" style="202" customWidth="1"/>
    <col min="8194" max="8194" width="36.7109375" style="202" customWidth="1"/>
    <col min="8195" max="8195" width="10.7109375" style="202" bestFit="1" customWidth="1"/>
    <col min="8196" max="8205" width="6.85546875" style="202" bestFit="1" customWidth="1"/>
    <col min="8206" max="8206" width="12.28515625" style="202" customWidth="1"/>
    <col min="8207" max="8448" width="11.42578125" style="202"/>
    <col min="8449" max="8449" width="1.28515625" style="202" customWidth="1"/>
    <col min="8450" max="8450" width="36.7109375" style="202" customWidth="1"/>
    <col min="8451" max="8451" width="10.7109375" style="202" bestFit="1" customWidth="1"/>
    <col min="8452" max="8461" width="6.85546875" style="202" bestFit="1" customWidth="1"/>
    <col min="8462" max="8462" width="12.28515625" style="202" customWidth="1"/>
    <col min="8463" max="8704" width="11.42578125" style="202"/>
    <col min="8705" max="8705" width="1.28515625" style="202" customWidth="1"/>
    <col min="8706" max="8706" width="36.7109375" style="202" customWidth="1"/>
    <col min="8707" max="8707" width="10.7109375" style="202" bestFit="1" customWidth="1"/>
    <col min="8708" max="8717" width="6.85546875" style="202" bestFit="1" customWidth="1"/>
    <col min="8718" max="8718" width="12.28515625" style="202" customWidth="1"/>
    <col min="8719" max="8960" width="11.42578125" style="202"/>
    <col min="8961" max="8961" width="1.28515625" style="202" customWidth="1"/>
    <col min="8962" max="8962" width="36.7109375" style="202" customWidth="1"/>
    <col min="8963" max="8963" width="10.7109375" style="202" bestFit="1" customWidth="1"/>
    <col min="8964" max="8973" width="6.85546875" style="202" bestFit="1" customWidth="1"/>
    <col min="8974" max="8974" width="12.28515625" style="202" customWidth="1"/>
    <col min="8975" max="9216" width="11.42578125" style="202"/>
    <col min="9217" max="9217" width="1.28515625" style="202" customWidth="1"/>
    <col min="9218" max="9218" width="36.7109375" style="202" customWidth="1"/>
    <col min="9219" max="9219" width="10.7109375" style="202" bestFit="1" customWidth="1"/>
    <col min="9220" max="9229" width="6.85546875" style="202" bestFit="1" customWidth="1"/>
    <col min="9230" max="9230" width="12.28515625" style="202" customWidth="1"/>
    <col min="9231" max="9472" width="11.42578125" style="202"/>
    <col min="9473" max="9473" width="1.28515625" style="202" customWidth="1"/>
    <col min="9474" max="9474" width="36.7109375" style="202" customWidth="1"/>
    <col min="9475" max="9475" width="10.7109375" style="202" bestFit="1" customWidth="1"/>
    <col min="9476" max="9485" width="6.85546875" style="202" bestFit="1" customWidth="1"/>
    <col min="9486" max="9486" width="12.28515625" style="202" customWidth="1"/>
    <col min="9487" max="9728" width="11.42578125" style="202"/>
    <col min="9729" max="9729" width="1.28515625" style="202" customWidth="1"/>
    <col min="9730" max="9730" width="36.7109375" style="202" customWidth="1"/>
    <col min="9731" max="9731" width="10.7109375" style="202" bestFit="1" customWidth="1"/>
    <col min="9732" max="9741" width="6.85546875" style="202" bestFit="1" customWidth="1"/>
    <col min="9742" max="9742" width="12.28515625" style="202" customWidth="1"/>
    <col min="9743" max="9984" width="11.42578125" style="202"/>
    <col min="9985" max="9985" width="1.28515625" style="202" customWidth="1"/>
    <col min="9986" max="9986" width="36.7109375" style="202" customWidth="1"/>
    <col min="9987" max="9987" width="10.7109375" style="202" bestFit="1" customWidth="1"/>
    <col min="9988" max="9997" width="6.85546875" style="202" bestFit="1" customWidth="1"/>
    <col min="9998" max="9998" width="12.28515625" style="202" customWidth="1"/>
    <col min="9999" max="10240" width="11.42578125" style="202"/>
    <col min="10241" max="10241" width="1.28515625" style="202" customWidth="1"/>
    <col min="10242" max="10242" width="36.7109375" style="202" customWidth="1"/>
    <col min="10243" max="10243" width="10.7109375" style="202" bestFit="1" customWidth="1"/>
    <col min="10244" max="10253" width="6.85546875" style="202" bestFit="1" customWidth="1"/>
    <col min="10254" max="10254" width="12.28515625" style="202" customWidth="1"/>
    <col min="10255" max="10496" width="11.42578125" style="202"/>
    <col min="10497" max="10497" width="1.28515625" style="202" customWidth="1"/>
    <col min="10498" max="10498" width="36.7109375" style="202" customWidth="1"/>
    <col min="10499" max="10499" width="10.7109375" style="202" bestFit="1" customWidth="1"/>
    <col min="10500" max="10509" width="6.85546875" style="202" bestFit="1" customWidth="1"/>
    <col min="10510" max="10510" width="12.28515625" style="202" customWidth="1"/>
    <col min="10511" max="10752" width="11.42578125" style="202"/>
    <col min="10753" max="10753" width="1.28515625" style="202" customWidth="1"/>
    <col min="10754" max="10754" width="36.7109375" style="202" customWidth="1"/>
    <col min="10755" max="10755" width="10.7109375" style="202" bestFit="1" customWidth="1"/>
    <col min="10756" max="10765" width="6.85546875" style="202" bestFit="1" customWidth="1"/>
    <col min="10766" max="10766" width="12.28515625" style="202" customWidth="1"/>
    <col min="10767" max="11008" width="11.42578125" style="202"/>
    <col min="11009" max="11009" width="1.28515625" style="202" customWidth="1"/>
    <col min="11010" max="11010" width="36.7109375" style="202" customWidth="1"/>
    <col min="11011" max="11011" width="10.7109375" style="202" bestFit="1" customWidth="1"/>
    <col min="11012" max="11021" width="6.85546875" style="202" bestFit="1" customWidth="1"/>
    <col min="11022" max="11022" width="12.28515625" style="202" customWidth="1"/>
    <col min="11023" max="11264" width="11.42578125" style="202"/>
    <col min="11265" max="11265" width="1.28515625" style="202" customWidth="1"/>
    <col min="11266" max="11266" width="36.7109375" style="202" customWidth="1"/>
    <col min="11267" max="11267" width="10.7109375" style="202" bestFit="1" customWidth="1"/>
    <col min="11268" max="11277" width="6.85546875" style="202" bestFit="1" customWidth="1"/>
    <col min="11278" max="11278" width="12.28515625" style="202" customWidth="1"/>
    <col min="11279" max="11520" width="11.42578125" style="202"/>
    <col min="11521" max="11521" width="1.28515625" style="202" customWidth="1"/>
    <col min="11522" max="11522" width="36.7109375" style="202" customWidth="1"/>
    <col min="11523" max="11523" width="10.7109375" style="202" bestFit="1" customWidth="1"/>
    <col min="11524" max="11533" width="6.85546875" style="202" bestFit="1" customWidth="1"/>
    <col min="11534" max="11534" width="12.28515625" style="202" customWidth="1"/>
    <col min="11535" max="11776" width="11.42578125" style="202"/>
    <col min="11777" max="11777" width="1.28515625" style="202" customWidth="1"/>
    <col min="11778" max="11778" width="36.7109375" style="202" customWidth="1"/>
    <col min="11779" max="11779" width="10.7109375" style="202" bestFit="1" customWidth="1"/>
    <col min="11780" max="11789" width="6.85546875" style="202" bestFit="1" customWidth="1"/>
    <col min="11790" max="11790" width="12.28515625" style="202" customWidth="1"/>
    <col min="11791" max="12032" width="11.42578125" style="202"/>
    <col min="12033" max="12033" width="1.28515625" style="202" customWidth="1"/>
    <col min="12034" max="12034" width="36.7109375" style="202" customWidth="1"/>
    <col min="12035" max="12035" width="10.7109375" style="202" bestFit="1" customWidth="1"/>
    <col min="12036" max="12045" width="6.85546875" style="202" bestFit="1" customWidth="1"/>
    <col min="12046" max="12046" width="12.28515625" style="202" customWidth="1"/>
    <col min="12047" max="12288" width="11.42578125" style="202"/>
    <col min="12289" max="12289" width="1.28515625" style="202" customWidth="1"/>
    <col min="12290" max="12290" width="36.7109375" style="202" customWidth="1"/>
    <col min="12291" max="12291" width="10.7109375" style="202" bestFit="1" customWidth="1"/>
    <col min="12292" max="12301" width="6.85546875" style="202" bestFit="1" customWidth="1"/>
    <col min="12302" max="12302" width="12.28515625" style="202" customWidth="1"/>
    <col min="12303" max="12544" width="11.42578125" style="202"/>
    <col min="12545" max="12545" width="1.28515625" style="202" customWidth="1"/>
    <col min="12546" max="12546" width="36.7109375" style="202" customWidth="1"/>
    <col min="12547" max="12547" width="10.7109375" style="202" bestFit="1" customWidth="1"/>
    <col min="12548" max="12557" width="6.85546875" style="202" bestFit="1" customWidth="1"/>
    <col min="12558" max="12558" width="12.28515625" style="202" customWidth="1"/>
    <col min="12559" max="12800" width="11.42578125" style="202"/>
    <col min="12801" max="12801" width="1.28515625" style="202" customWidth="1"/>
    <col min="12802" max="12802" width="36.7109375" style="202" customWidth="1"/>
    <col min="12803" max="12803" width="10.7109375" style="202" bestFit="1" customWidth="1"/>
    <col min="12804" max="12813" width="6.85546875" style="202" bestFit="1" customWidth="1"/>
    <col min="12814" max="12814" width="12.28515625" style="202" customWidth="1"/>
    <col min="12815" max="13056" width="11.42578125" style="202"/>
    <col min="13057" max="13057" width="1.28515625" style="202" customWidth="1"/>
    <col min="13058" max="13058" width="36.7109375" style="202" customWidth="1"/>
    <col min="13059" max="13059" width="10.7109375" style="202" bestFit="1" customWidth="1"/>
    <col min="13060" max="13069" width="6.85546875" style="202" bestFit="1" customWidth="1"/>
    <col min="13070" max="13070" width="12.28515625" style="202" customWidth="1"/>
    <col min="13071" max="13312" width="11.42578125" style="202"/>
    <col min="13313" max="13313" width="1.28515625" style="202" customWidth="1"/>
    <col min="13314" max="13314" width="36.7109375" style="202" customWidth="1"/>
    <col min="13315" max="13315" width="10.7109375" style="202" bestFit="1" customWidth="1"/>
    <col min="13316" max="13325" width="6.85546875" style="202" bestFit="1" customWidth="1"/>
    <col min="13326" max="13326" width="12.28515625" style="202" customWidth="1"/>
    <col min="13327" max="13568" width="11.42578125" style="202"/>
    <col min="13569" max="13569" width="1.28515625" style="202" customWidth="1"/>
    <col min="13570" max="13570" width="36.7109375" style="202" customWidth="1"/>
    <col min="13571" max="13571" width="10.7109375" style="202" bestFit="1" customWidth="1"/>
    <col min="13572" max="13581" width="6.85546875" style="202" bestFit="1" customWidth="1"/>
    <col min="13582" max="13582" width="12.28515625" style="202" customWidth="1"/>
    <col min="13583" max="13824" width="11.42578125" style="202"/>
    <col min="13825" max="13825" width="1.28515625" style="202" customWidth="1"/>
    <col min="13826" max="13826" width="36.7109375" style="202" customWidth="1"/>
    <col min="13827" max="13827" width="10.7109375" style="202" bestFit="1" customWidth="1"/>
    <col min="13828" max="13837" width="6.85546875" style="202" bestFit="1" customWidth="1"/>
    <col min="13838" max="13838" width="12.28515625" style="202" customWidth="1"/>
    <col min="13839" max="14080" width="11.42578125" style="202"/>
    <col min="14081" max="14081" width="1.28515625" style="202" customWidth="1"/>
    <col min="14082" max="14082" width="36.7109375" style="202" customWidth="1"/>
    <col min="14083" max="14083" width="10.7109375" style="202" bestFit="1" customWidth="1"/>
    <col min="14084" max="14093" width="6.85546875" style="202" bestFit="1" customWidth="1"/>
    <col min="14094" max="14094" width="12.28515625" style="202" customWidth="1"/>
    <col min="14095" max="14336" width="11.42578125" style="202"/>
    <col min="14337" max="14337" width="1.28515625" style="202" customWidth="1"/>
    <col min="14338" max="14338" width="36.7109375" style="202" customWidth="1"/>
    <col min="14339" max="14339" width="10.7109375" style="202" bestFit="1" customWidth="1"/>
    <col min="14340" max="14349" width="6.85546875" style="202" bestFit="1" customWidth="1"/>
    <col min="14350" max="14350" width="12.28515625" style="202" customWidth="1"/>
    <col min="14351" max="14592" width="11.42578125" style="202"/>
    <col min="14593" max="14593" width="1.28515625" style="202" customWidth="1"/>
    <col min="14594" max="14594" width="36.7109375" style="202" customWidth="1"/>
    <col min="14595" max="14595" width="10.7109375" style="202" bestFit="1" customWidth="1"/>
    <col min="14596" max="14605" width="6.85546875" style="202" bestFit="1" customWidth="1"/>
    <col min="14606" max="14606" width="12.28515625" style="202" customWidth="1"/>
    <col min="14607" max="14848" width="11.42578125" style="202"/>
    <col min="14849" max="14849" width="1.28515625" style="202" customWidth="1"/>
    <col min="14850" max="14850" width="36.7109375" style="202" customWidth="1"/>
    <col min="14851" max="14851" width="10.7109375" style="202" bestFit="1" customWidth="1"/>
    <col min="14852" max="14861" width="6.85546875" style="202" bestFit="1" customWidth="1"/>
    <col min="14862" max="14862" width="12.28515625" style="202" customWidth="1"/>
    <col min="14863" max="15104" width="11.42578125" style="202"/>
    <col min="15105" max="15105" width="1.28515625" style="202" customWidth="1"/>
    <col min="15106" max="15106" width="36.7109375" style="202" customWidth="1"/>
    <col min="15107" max="15107" width="10.7109375" style="202" bestFit="1" customWidth="1"/>
    <col min="15108" max="15117" width="6.85546875" style="202" bestFit="1" customWidth="1"/>
    <col min="15118" max="15118" width="12.28515625" style="202" customWidth="1"/>
    <col min="15119" max="15360" width="11.42578125" style="202"/>
    <col min="15361" max="15361" width="1.28515625" style="202" customWidth="1"/>
    <col min="15362" max="15362" width="36.7109375" style="202" customWidth="1"/>
    <col min="15363" max="15363" width="10.7109375" style="202" bestFit="1" customWidth="1"/>
    <col min="15364" max="15373" width="6.85546875" style="202" bestFit="1" customWidth="1"/>
    <col min="15374" max="15374" width="12.28515625" style="202" customWidth="1"/>
    <col min="15375" max="15616" width="11.42578125" style="202"/>
    <col min="15617" max="15617" width="1.28515625" style="202" customWidth="1"/>
    <col min="15618" max="15618" width="36.7109375" style="202" customWidth="1"/>
    <col min="15619" max="15619" width="10.7109375" style="202" bestFit="1" customWidth="1"/>
    <col min="15620" max="15629" width="6.85546875" style="202" bestFit="1" customWidth="1"/>
    <col min="15630" max="15630" width="12.28515625" style="202" customWidth="1"/>
    <col min="15631" max="15872" width="11.42578125" style="202"/>
    <col min="15873" max="15873" width="1.28515625" style="202" customWidth="1"/>
    <col min="15874" max="15874" width="36.7109375" style="202" customWidth="1"/>
    <col min="15875" max="15875" width="10.7109375" style="202" bestFit="1" customWidth="1"/>
    <col min="15876" max="15885" width="6.85546875" style="202" bestFit="1" customWidth="1"/>
    <col min="15886" max="15886" width="12.28515625" style="202" customWidth="1"/>
    <col min="15887" max="16128" width="11.42578125" style="202"/>
    <col min="16129" max="16129" width="1.28515625" style="202" customWidth="1"/>
    <col min="16130" max="16130" width="36.7109375" style="202" customWidth="1"/>
    <col min="16131" max="16131" width="10.7109375" style="202" bestFit="1" customWidth="1"/>
    <col min="16132" max="16141" width="6.85546875" style="202" bestFit="1" customWidth="1"/>
    <col min="16142" max="16142" width="12.28515625" style="202" customWidth="1"/>
    <col min="16143" max="16384" width="11.42578125" style="202"/>
  </cols>
  <sheetData>
    <row r="1" spans="2:13" x14ac:dyDescent="0.25">
      <c r="B1" s="335"/>
    </row>
    <row r="2" spans="2:13" x14ac:dyDescent="0.25">
      <c r="B2" s="335"/>
    </row>
    <row r="3" spans="2:13" x14ac:dyDescent="0.25">
      <c r="B3" s="335" t="s">
        <v>444</v>
      </c>
    </row>
    <row r="5" spans="2:13" x14ac:dyDescent="0.25">
      <c r="B5" s="335" t="s">
        <v>445</v>
      </c>
    </row>
    <row r="6" spans="2:13" x14ac:dyDescent="0.25">
      <c r="B6" s="180" t="s">
        <v>446</v>
      </c>
      <c r="C6" s="843">
        <v>16000</v>
      </c>
    </row>
    <row r="7" spans="2:13" x14ac:dyDescent="0.25">
      <c r="B7" s="180" t="s">
        <v>447</v>
      </c>
      <c r="C7" s="843">
        <v>28000</v>
      </c>
      <c r="D7" s="202" t="s">
        <v>850</v>
      </c>
    </row>
    <row r="8" spans="2:13" x14ac:dyDescent="0.25">
      <c r="B8" s="180" t="s">
        <v>448</v>
      </c>
      <c r="C8" s="843">
        <v>160000</v>
      </c>
    </row>
    <row r="9" spans="2:13" x14ac:dyDescent="0.25">
      <c r="B9" s="180" t="s">
        <v>449</v>
      </c>
      <c r="C9" s="843">
        <v>350000</v>
      </c>
    </row>
    <row r="10" spans="2:13" x14ac:dyDescent="0.25">
      <c r="B10" s="844" t="s">
        <v>450</v>
      </c>
      <c r="C10" s="845">
        <f>SUM(C6:C9)</f>
        <v>554000</v>
      </c>
    </row>
    <row r="12" spans="2:13" x14ac:dyDescent="0.25">
      <c r="B12" s="335" t="s">
        <v>451</v>
      </c>
    </row>
    <row r="13" spans="2:13" x14ac:dyDescent="0.25">
      <c r="B13" s="202" t="s">
        <v>851</v>
      </c>
    </row>
    <row r="14" spans="2:13" ht="15.75" thickBot="1" x14ac:dyDescent="0.3">
      <c r="B14" s="202" t="s">
        <v>852</v>
      </c>
    </row>
    <row r="15" spans="2:13" x14ac:dyDescent="0.25">
      <c r="B15" s="665" t="s">
        <v>340</v>
      </c>
      <c r="C15" s="666">
        <v>1</v>
      </c>
      <c r="D15" s="666">
        <f>+C15+1</f>
        <v>2</v>
      </c>
      <c r="E15" s="666">
        <f t="shared" ref="E15:M15" si="0">+D15+1</f>
        <v>3</v>
      </c>
      <c r="F15" s="666">
        <f t="shared" si="0"/>
        <v>4</v>
      </c>
      <c r="G15" s="666">
        <f t="shared" si="0"/>
        <v>5</v>
      </c>
      <c r="H15" s="666">
        <f t="shared" si="0"/>
        <v>6</v>
      </c>
      <c r="I15" s="666">
        <f t="shared" si="0"/>
        <v>7</v>
      </c>
      <c r="J15" s="666">
        <f t="shared" si="0"/>
        <v>8</v>
      </c>
      <c r="K15" s="666">
        <f t="shared" si="0"/>
        <v>9</v>
      </c>
      <c r="L15" s="666">
        <f t="shared" si="0"/>
        <v>10</v>
      </c>
      <c r="M15" s="666">
        <f t="shared" si="0"/>
        <v>11</v>
      </c>
    </row>
    <row r="16" spans="2:13" x14ac:dyDescent="0.25">
      <c r="B16" s="585" t="s">
        <v>256</v>
      </c>
      <c r="C16" s="769">
        <v>0.02</v>
      </c>
      <c r="D16" s="769">
        <v>0.02</v>
      </c>
      <c r="E16" s="769">
        <v>0.02</v>
      </c>
      <c r="F16" s="769">
        <v>0.02</v>
      </c>
      <c r="G16" s="769">
        <v>0.02</v>
      </c>
      <c r="H16" s="769">
        <v>0.02</v>
      </c>
      <c r="I16" s="769">
        <v>0.02</v>
      </c>
      <c r="J16" s="769">
        <v>0.02</v>
      </c>
      <c r="K16" s="769">
        <v>0.02</v>
      </c>
      <c r="L16" s="769">
        <v>0.02</v>
      </c>
      <c r="M16" s="769">
        <v>0.02</v>
      </c>
    </row>
    <row r="17" spans="2:15" ht="15.75" thickBot="1" x14ac:dyDescent="0.3">
      <c r="B17" s="846"/>
      <c r="C17" s="847" t="s">
        <v>452</v>
      </c>
      <c r="D17" s="847" t="s">
        <v>452</v>
      </c>
      <c r="E17" s="847" t="s">
        <v>452</v>
      </c>
      <c r="F17" s="847" t="s">
        <v>452</v>
      </c>
      <c r="G17" s="847" t="s">
        <v>452</v>
      </c>
      <c r="H17" s="847" t="s">
        <v>452</v>
      </c>
      <c r="I17" s="847" t="s">
        <v>452</v>
      </c>
      <c r="J17" s="847" t="s">
        <v>452</v>
      </c>
      <c r="K17" s="847" t="s">
        <v>452</v>
      </c>
      <c r="L17" s="847" t="s">
        <v>452</v>
      </c>
      <c r="M17" s="847" t="s">
        <v>452</v>
      </c>
    </row>
    <row r="18" spans="2:15" x14ac:dyDescent="0.25">
      <c r="B18" s="667" t="s">
        <v>343</v>
      </c>
      <c r="C18" s="848">
        <v>2009</v>
      </c>
      <c r="D18" s="848">
        <f>+C18+1</f>
        <v>2010</v>
      </c>
      <c r="E18" s="848">
        <f t="shared" ref="E18:M18" si="1">+D18+1</f>
        <v>2011</v>
      </c>
      <c r="F18" s="848">
        <f t="shared" si="1"/>
        <v>2012</v>
      </c>
      <c r="G18" s="848">
        <f t="shared" si="1"/>
        <v>2013</v>
      </c>
      <c r="H18" s="848">
        <f t="shared" si="1"/>
        <v>2014</v>
      </c>
      <c r="I18" s="848">
        <f t="shared" si="1"/>
        <v>2015</v>
      </c>
      <c r="J18" s="848">
        <f t="shared" si="1"/>
        <v>2016</v>
      </c>
      <c r="K18" s="848">
        <f t="shared" si="1"/>
        <v>2017</v>
      </c>
      <c r="L18" s="848">
        <f t="shared" si="1"/>
        <v>2018</v>
      </c>
      <c r="M18" s="848">
        <f t="shared" si="1"/>
        <v>2019</v>
      </c>
    </row>
    <row r="19" spans="2:15" x14ac:dyDescent="0.25">
      <c r="B19" s="207" t="s">
        <v>856</v>
      </c>
      <c r="C19" s="771">
        <f>8*6*0.9</f>
        <v>43.2</v>
      </c>
      <c r="D19" s="771">
        <f>+C19*2*(1+D16)</f>
        <v>88.128000000000014</v>
      </c>
      <c r="E19" s="771">
        <f t="shared" ref="E19:L19" si="2">+D19*(1+E16)</f>
        <v>89.890560000000022</v>
      </c>
      <c r="F19" s="771">
        <f t="shared" si="2"/>
        <v>91.68837120000002</v>
      </c>
      <c r="G19" s="771">
        <f t="shared" si="2"/>
        <v>93.522138624000021</v>
      </c>
      <c r="H19" s="771">
        <f t="shared" si="2"/>
        <v>95.392581396480026</v>
      </c>
      <c r="I19" s="771">
        <f t="shared" si="2"/>
        <v>97.300433024409628</v>
      </c>
      <c r="J19" s="771">
        <f t="shared" si="2"/>
        <v>99.246441684897817</v>
      </c>
      <c r="K19" s="771">
        <f t="shared" si="2"/>
        <v>101.23137051859578</v>
      </c>
      <c r="L19" s="771">
        <f t="shared" si="2"/>
        <v>103.2559979289677</v>
      </c>
      <c r="M19" s="771">
        <f>+L19*(1+M16)/2</f>
        <v>52.66055894377353</v>
      </c>
    </row>
    <row r="20" spans="2:15" x14ac:dyDescent="0.25">
      <c r="B20" s="207" t="s">
        <v>282</v>
      </c>
      <c r="C20" s="771"/>
      <c r="D20" s="771"/>
      <c r="E20" s="771"/>
      <c r="F20" s="771"/>
      <c r="G20" s="771"/>
      <c r="H20" s="771"/>
      <c r="I20" s="771"/>
      <c r="J20" s="843"/>
      <c r="K20" s="843"/>
      <c r="L20" s="843"/>
      <c r="M20" s="843"/>
    </row>
    <row r="21" spans="2:15" x14ac:dyDescent="0.25">
      <c r="B21" s="207" t="s">
        <v>420</v>
      </c>
      <c r="C21" s="771"/>
      <c r="D21" s="771"/>
      <c r="E21" s="771"/>
      <c r="F21" s="771"/>
      <c r="G21" s="771"/>
      <c r="H21" s="771"/>
      <c r="I21" s="771"/>
      <c r="J21" s="843"/>
      <c r="K21" s="843"/>
      <c r="L21" s="843"/>
      <c r="M21" s="843"/>
    </row>
    <row r="22" spans="2:15" x14ac:dyDescent="0.25">
      <c r="B22" s="668" t="s">
        <v>80</v>
      </c>
      <c r="C22" s="772">
        <f t="shared" ref="C22:L22" si="3">+C19+C20</f>
        <v>43.2</v>
      </c>
      <c r="D22" s="772">
        <f t="shared" si="3"/>
        <v>88.128000000000014</v>
      </c>
      <c r="E22" s="772">
        <f t="shared" si="3"/>
        <v>89.890560000000022</v>
      </c>
      <c r="F22" s="772">
        <f t="shared" si="3"/>
        <v>91.68837120000002</v>
      </c>
      <c r="G22" s="772">
        <f t="shared" si="3"/>
        <v>93.522138624000021</v>
      </c>
      <c r="H22" s="772">
        <f t="shared" si="3"/>
        <v>95.392581396480026</v>
      </c>
      <c r="I22" s="772">
        <f t="shared" si="3"/>
        <v>97.300433024409628</v>
      </c>
      <c r="J22" s="772">
        <f t="shared" si="3"/>
        <v>99.246441684897817</v>
      </c>
      <c r="K22" s="772">
        <f t="shared" si="3"/>
        <v>101.23137051859578</v>
      </c>
      <c r="L22" s="772">
        <f t="shared" si="3"/>
        <v>103.2559979289677</v>
      </c>
      <c r="M22" s="772">
        <f>+M19+M20</f>
        <v>52.66055894377353</v>
      </c>
    </row>
    <row r="23" spans="2:15" x14ac:dyDescent="0.25">
      <c r="B23" s="207" t="s">
        <v>421</v>
      </c>
      <c r="C23" s="771"/>
      <c r="D23" s="771"/>
      <c r="E23" s="771"/>
      <c r="F23" s="771"/>
      <c r="G23" s="771"/>
      <c r="H23" s="771"/>
      <c r="I23" s="771"/>
      <c r="J23" s="843"/>
      <c r="K23" s="843"/>
      <c r="L23" s="843"/>
      <c r="M23" s="843">
        <v>3000</v>
      </c>
    </row>
    <row r="24" spans="2:15" x14ac:dyDescent="0.25">
      <c r="B24" s="207" t="s">
        <v>453</v>
      </c>
      <c r="C24" s="771"/>
      <c r="D24" s="771"/>
      <c r="E24" s="771"/>
      <c r="F24" s="771"/>
      <c r="G24" s="771"/>
      <c r="H24" s="771"/>
      <c r="I24" s="771"/>
      <c r="J24" s="843"/>
      <c r="K24" s="843"/>
      <c r="L24" s="843"/>
      <c r="M24" s="843"/>
    </row>
    <row r="25" spans="2:15" x14ac:dyDescent="0.25">
      <c r="B25" s="667" t="s">
        <v>422</v>
      </c>
      <c r="C25" s="773">
        <f t="shared" ref="C25:M25" si="4">SUM(C22:C24)</f>
        <v>43.2</v>
      </c>
      <c r="D25" s="773">
        <f t="shared" si="4"/>
        <v>88.128000000000014</v>
      </c>
      <c r="E25" s="773">
        <f t="shared" si="4"/>
        <v>89.890560000000022</v>
      </c>
      <c r="F25" s="773">
        <f t="shared" si="4"/>
        <v>91.68837120000002</v>
      </c>
      <c r="G25" s="773">
        <f t="shared" si="4"/>
        <v>93.522138624000021</v>
      </c>
      <c r="H25" s="773">
        <f t="shared" si="4"/>
        <v>95.392581396480026</v>
      </c>
      <c r="I25" s="773">
        <f t="shared" si="4"/>
        <v>97.300433024409628</v>
      </c>
      <c r="J25" s="773">
        <f t="shared" si="4"/>
        <v>99.246441684897817</v>
      </c>
      <c r="K25" s="773">
        <f t="shared" si="4"/>
        <v>101.23137051859578</v>
      </c>
      <c r="L25" s="773">
        <f t="shared" si="4"/>
        <v>103.2559979289677</v>
      </c>
      <c r="M25" s="773">
        <f t="shared" si="4"/>
        <v>3052.6605589437736</v>
      </c>
    </row>
    <row r="26" spans="2:15" x14ac:dyDescent="0.25">
      <c r="B26" s="429" t="s">
        <v>423</v>
      </c>
      <c r="C26" s="669">
        <v>0</v>
      </c>
      <c r="D26" s="669">
        <v>0</v>
      </c>
      <c r="E26" s="669">
        <v>0</v>
      </c>
      <c r="F26" s="669">
        <v>0</v>
      </c>
      <c r="G26" s="669">
        <v>0</v>
      </c>
      <c r="H26" s="669">
        <v>0</v>
      </c>
      <c r="I26" s="669">
        <v>0</v>
      </c>
      <c r="J26" s="669">
        <v>0</v>
      </c>
      <c r="K26" s="669">
        <v>0</v>
      </c>
      <c r="L26" s="669">
        <v>0</v>
      </c>
      <c r="M26" s="669">
        <v>0</v>
      </c>
    </row>
    <row r="27" spans="2:15" x14ac:dyDescent="0.25">
      <c r="B27" s="667" t="s">
        <v>424</v>
      </c>
      <c r="C27" s="773">
        <f>+C25+C26</f>
        <v>43.2</v>
      </c>
      <c r="D27" s="773">
        <f t="shared" ref="D27:M27" si="5">+D25+D26</f>
        <v>88.128000000000014</v>
      </c>
      <c r="E27" s="773">
        <f t="shared" si="5"/>
        <v>89.890560000000022</v>
      </c>
      <c r="F27" s="773">
        <f t="shared" si="5"/>
        <v>91.68837120000002</v>
      </c>
      <c r="G27" s="773">
        <f t="shared" si="5"/>
        <v>93.522138624000021</v>
      </c>
      <c r="H27" s="773">
        <f t="shared" si="5"/>
        <v>95.392581396480026</v>
      </c>
      <c r="I27" s="773">
        <f t="shared" si="5"/>
        <v>97.300433024409628</v>
      </c>
      <c r="J27" s="773">
        <f t="shared" si="5"/>
        <v>99.246441684897817</v>
      </c>
      <c r="K27" s="773">
        <f t="shared" si="5"/>
        <v>101.23137051859578</v>
      </c>
      <c r="L27" s="773">
        <f t="shared" si="5"/>
        <v>103.2559979289677</v>
      </c>
      <c r="M27" s="773">
        <f t="shared" si="5"/>
        <v>3052.6605589437736</v>
      </c>
    </row>
    <row r="28" spans="2:15" x14ac:dyDescent="0.25">
      <c r="B28" s="422" t="s">
        <v>260</v>
      </c>
      <c r="C28" s="849"/>
      <c r="D28" s="849"/>
      <c r="E28" s="849"/>
      <c r="F28" s="849"/>
      <c r="G28" s="849"/>
      <c r="H28" s="849"/>
      <c r="I28" s="849"/>
      <c r="J28" s="849"/>
      <c r="K28" s="849"/>
      <c r="L28" s="849"/>
      <c r="M28" s="849"/>
      <c r="N28" s="180"/>
      <c r="O28" s="180"/>
    </row>
    <row r="29" spans="2:15" x14ac:dyDescent="0.25">
      <c r="B29" s="422" t="s">
        <v>276</v>
      </c>
      <c r="C29" s="775">
        <v>0.05</v>
      </c>
      <c r="D29" s="775">
        <v>0.05</v>
      </c>
      <c r="E29" s="775">
        <v>0.05</v>
      </c>
      <c r="F29" s="775">
        <v>0.05</v>
      </c>
      <c r="G29" s="775">
        <v>0.05</v>
      </c>
      <c r="H29" s="775">
        <v>0.05</v>
      </c>
      <c r="I29" s="775">
        <v>0.05</v>
      </c>
      <c r="J29" s="775">
        <v>0.05</v>
      </c>
      <c r="K29" s="775">
        <v>0.05</v>
      </c>
      <c r="L29" s="775">
        <v>0.05</v>
      </c>
      <c r="M29" s="775">
        <v>0.05</v>
      </c>
      <c r="N29" s="180"/>
      <c r="O29" s="180"/>
    </row>
    <row r="30" spans="2:15" x14ac:dyDescent="0.25">
      <c r="B30" s="422" t="s">
        <v>454</v>
      </c>
      <c r="C30" s="774">
        <v>1</v>
      </c>
      <c r="D30" s="774"/>
      <c r="E30" s="774"/>
      <c r="F30" s="774"/>
      <c r="G30" s="774"/>
      <c r="H30" s="774"/>
      <c r="I30" s="422"/>
      <c r="J30" s="180"/>
      <c r="K30" s="180"/>
      <c r="L30" s="180"/>
      <c r="M30" s="180"/>
      <c r="N30" s="180"/>
      <c r="O30" s="180"/>
    </row>
    <row r="31" spans="2:15" x14ac:dyDescent="0.25">
      <c r="B31" s="422" t="s">
        <v>455</v>
      </c>
      <c r="C31" s="774"/>
      <c r="D31" s="774"/>
      <c r="E31" s="774"/>
      <c r="F31" s="774"/>
      <c r="G31" s="774"/>
      <c r="H31" s="774"/>
      <c r="I31" s="422"/>
      <c r="J31" s="180"/>
      <c r="K31" s="180"/>
      <c r="L31" s="180"/>
      <c r="M31" s="180"/>
      <c r="N31" s="180"/>
      <c r="O31" s="180"/>
    </row>
    <row r="32" spans="2:15" x14ac:dyDescent="0.25">
      <c r="B32" s="770" t="s">
        <v>278</v>
      </c>
      <c r="C32" s="776">
        <f>+C29</f>
        <v>0.05</v>
      </c>
      <c r="D32" s="776">
        <f t="shared" ref="D32:M32" si="6">+D29</f>
        <v>0.05</v>
      </c>
      <c r="E32" s="776">
        <f t="shared" si="6"/>
        <v>0.05</v>
      </c>
      <c r="F32" s="776">
        <f t="shared" si="6"/>
        <v>0.05</v>
      </c>
      <c r="G32" s="776">
        <f t="shared" si="6"/>
        <v>0.05</v>
      </c>
      <c r="H32" s="776">
        <f t="shared" si="6"/>
        <v>0.05</v>
      </c>
      <c r="I32" s="776">
        <f t="shared" si="6"/>
        <v>0.05</v>
      </c>
      <c r="J32" s="776">
        <f t="shared" si="6"/>
        <v>0.05</v>
      </c>
      <c r="K32" s="776">
        <f t="shared" si="6"/>
        <v>0.05</v>
      </c>
      <c r="L32" s="776">
        <f t="shared" si="6"/>
        <v>0.05</v>
      </c>
      <c r="M32" s="776">
        <f t="shared" si="6"/>
        <v>0.05</v>
      </c>
      <c r="N32" s="180"/>
      <c r="O32" s="180"/>
    </row>
    <row r="33" spans="2:15" x14ac:dyDescent="0.25">
      <c r="B33" s="432" t="s">
        <v>857</v>
      </c>
      <c r="C33" s="851">
        <v>1</v>
      </c>
      <c r="D33" s="851">
        <v>1</v>
      </c>
      <c r="E33" s="851">
        <v>0.8</v>
      </c>
      <c r="F33" s="851">
        <v>0.8</v>
      </c>
      <c r="G33" s="851">
        <v>0.6</v>
      </c>
      <c r="H33" s="851">
        <v>0.6</v>
      </c>
      <c r="I33" s="851">
        <v>0.4</v>
      </c>
      <c r="J33" s="851">
        <v>0.4</v>
      </c>
      <c r="K33" s="851">
        <v>0.2</v>
      </c>
      <c r="L33" s="851">
        <v>0.2</v>
      </c>
      <c r="M33" s="851">
        <v>1</v>
      </c>
      <c r="O33" s="180"/>
    </row>
    <row r="34" spans="2:15" x14ac:dyDescent="0.25">
      <c r="B34" s="432" t="s">
        <v>858</v>
      </c>
      <c r="C34" s="852">
        <f>+C27*C33</f>
        <v>43.2</v>
      </c>
      <c r="D34" s="852">
        <f t="shared" ref="D34:M34" si="7">+D27*D33</f>
        <v>88.128000000000014</v>
      </c>
      <c r="E34" s="852">
        <f t="shared" si="7"/>
        <v>71.912448000000026</v>
      </c>
      <c r="F34" s="852">
        <f t="shared" si="7"/>
        <v>73.350696960000022</v>
      </c>
      <c r="G34" s="852">
        <f t="shared" si="7"/>
        <v>56.11328317440001</v>
      </c>
      <c r="H34" s="852">
        <f t="shared" si="7"/>
        <v>57.235548837888011</v>
      </c>
      <c r="I34" s="852">
        <f t="shared" si="7"/>
        <v>38.920173209763853</v>
      </c>
      <c r="J34" s="852">
        <f t="shared" si="7"/>
        <v>39.698576673959131</v>
      </c>
      <c r="K34" s="852">
        <f t="shared" si="7"/>
        <v>20.246274103719159</v>
      </c>
      <c r="L34" s="852">
        <f t="shared" si="7"/>
        <v>20.651199585793542</v>
      </c>
      <c r="M34" s="852">
        <f t="shared" si="7"/>
        <v>3052.6605589437736</v>
      </c>
      <c r="O34" s="180"/>
    </row>
    <row r="35" spans="2:15" x14ac:dyDescent="0.25">
      <c r="B35" s="429" t="s">
        <v>853</v>
      </c>
      <c r="C35" s="850">
        <f>1/(1+C32)^C15</f>
        <v>0.95238095238095233</v>
      </c>
      <c r="D35" s="850">
        <f t="shared" ref="D35:M35" si="8">1/(1+D32)^D15</f>
        <v>0.90702947845804982</v>
      </c>
      <c r="E35" s="850">
        <f t="shared" si="8"/>
        <v>0.86383759853147601</v>
      </c>
      <c r="F35" s="850">
        <f t="shared" si="8"/>
        <v>0.82270247479188197</v>
      </c>
      <c r="G35" s="850">
        <f t="shared" si="8"/>
        <v>0.78352616646845896</v>
      </c>
      <c r="H35" s="850">
        <f t="shared" si="8"/>
        <v>0.74621539663662761</v>
      </c>
      <c r="I35" s="850">
        <f t="shared" si="8"/>
        <v>0.71068133013012147</v>
      </c>
      <c r="J35" s="850">
        <f t="shared" si="8"/>
        <v>0.67683936202868722</v>
      </c>
      <c r="K35" s="850">
        <f t="shared" si="8"/>
        <v>0.64460891621779726</v>
      </c>
      <c r="L35" s="850">
        <f t="shared" si="8"/>
        <v>0.61391325354075932</v>
      </c>
      <c r="M35" s="850">
        <f t="shared" si="8"/>
        <v>0.5846792890864374</v>
      </c>
      <c r="N35" s="180"/>
      <c r="O35" s="180"/>
    </row>
    <row r="36" spans="2:15" x14ac:dyDescent="0.25">
      <c r="B36" s="429" t="s">
        <v>854</v>
      </c>
      <c r="C36" s="852">
        <f>+C27*C35*C33</f>
        <v>41.142857142857146</v>
      </c>
      <c r="D36" s="852">
        <f t="shared" ref="D36:M36" si="9">+D27*D35*D33</f>
        <v>79.934693877551027</v>
      </c>
      <c r="E36" s="852">
        <f t="shared" si="9"/>
        <v>62.120676384839662</v>
      </c>
      <c r="F36" s="852">
        <f t="shared" si="9"/>
        <v>60.345799916701395</v>
      </c>
      <c r="G36" s="852">
        <f t="shared" si="9"/>
        <v>43.966225653596723</v>
      </c>
      <c r="H36" s="852">
        <f t="shared" si="9"/>
        <v>42.710047777779678</v>
      </c>
      <c r="I36" s="852">
        <f t="shared" si="9"/>
        <v>27.659840465609694</v>
      </c>
      <c r="J36" s="852">
        <f t="shared" si="9"/>
        <v>26.869559309449421</v>
      </c>
      <c r="K36" s="852">
        <f t="shared" si="9"/>
        <v>13.05092880744686</v>
      </c>
      <c r="L36" s="852">
        <f t="shared" si="9"/>
        <v>12.678045127234094</v>
      </c>
      <c r="M36" s="852">
        <f t="shared" si="9"/>
        <v>1784.8274054254523</v>
      </c>
      <c r="N36" s="852"/>
      <c r="O36" s="180"/>
    </row>
    <row r="37" spans="2:15" x14ac:dyDescent="0.25">
      <c r="B37" s="854" t="s">
        <v>855</v>
      </c>
      <c r="C37" s="855">
        <f>+C36</f>
        <v>41.142857142857146</v>
      </c>
      <c r="D37" s="855">
        <f>+D36+C37</f>
        <v>121.07755102040818</v>
      </c>
      <c r="E37" s="855">
        <f t="shared" ref="E37:M37" si="10">+E36+D37</f>
        <v>183.19822740524785</v>
      </c>
      <c r="F37" s="855">
        <f t="shared" si="10"/>
        <v>243.54402732194924</v>
      </c>
      <c r="G37" s="855">
        <f t="shared" si="10"/>
        <v>287.510252975546</v>
      </c>
      <c r="H37" s="855">
        <f t="shared" si="10"/>
        <v>330.22030075332566</v>
      </c>
      <c r="I37" s="855">
        <f t="shared" si="10"/>
        <v>357.88014121893536</v>
      </c>
      <c r="J37" s="855">
        <f t="shared" si="10"/>
        <v>384.74970052838478</v>
      </c>
      <c r="K37" s="855">
        <f t="shared" si="10"/>
        <v>397.80062933583162</v>
      </c>
      <c r="L37" s="855">
        <f t="shared" si="10"/>
        <v>410.47867446306572</v>
      </c>
      <c r="M37" s="855">
        <f t="shared" si="10"/>
        <v>2195.3060798885181</v>
      </c>
      <c r="N37" s="180"/>
      <c r="O37" s="180"/>
    </row>
    <row r="38" spans="2:15" x14ac:dyDescent="0.25">
      <c r="B38" s="422"/>
      <c r="C38" s="774"/>
      <c r="D38" s="774"/>
      <c r="E38" s="774"/>
      <c r="F38" s="774"/>
      <c r="G38" s="774"/>
      <c r="H38" s="774"/>
      <c r="I38" s="422"/>
      <c r="J38" s="180"/>
      <c r="K38" s="180"/>
      <c r="L38" s="180"/>
      <c r="M38" s="853"/>
      <c r="N38" s="180"/>
      <c r="O38" s="180"/>
    </row>
    <row r="39" spans="2:15" x14ac:dyDescent="0.25">
      <c r="B39" s="422" t="s">
        <v>456</v>
      </c>
      <c r="C39" s="856">
        <f>+NPV(C32,C34:M34)*1000</f>
        <v>2195306.079888517</v>
      </c>
      <c r="D39" s="774"/>
      <c r="E39" s="774"/>
      <c r="F39" s="774"/>
      <c r="G39" s="774"/>
      <c r="H39" s="774"/>
      <c r="I39" s="422"/>
      <c r="J39" s="180"/>
      <c r="K39" s="180"/>
      <c r="L39" s="180"/>
      <c r="M39" s="180"/>
      <c r="N39" s="180"/>
      <c r="O39" s="180"/>
    </row>
    <row r="40" spans="2:15" x14ac:dyDescent="0.25">
      <c r="B40" s="422"/>
      <c r="C40" s="774"/>
      <c r="D40" s="774"/>
      <c r="E40" s="774"/>
      <c r="F40" s="774"/>
      <c r="G40" s="774"/>
      <c r="H40" s="774"/>
      <c r="I40" s="422"/>
      <c r="J40" s="180"/>
      <c r="K40" s="180"/>
      <c r="L40" s="180"/>
      <c r="M40" s="180"/>
      <c r="N40" s="180"/>
      <c r="O40" s="180"/>
    </row>
    <row r="41" spans="2:15" x14ac:dyDescent="0.25">
      <c r="B41" s="180" t="s">
        <v>859</v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</row>
    <row r="42" spans="2:15" x14ac:dyDescent="0.25"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</row>
    <row r="43" spans="2:15" x14ac:dyDescent="0.25"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</row>
    <row r="44" spans="2:15" x14ac:dyDescent="0.25"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showGridLines="0" workbookViewId="0">
      <selection activeCell="G7" sqref="G7"/>
    </sheetView>
  </sheetViews>
  <sheetFormatPr baseColWidth="10" defaultColWidth="11.42578125" defaultRowHeight="15.75" x14ac:dyDescent="0.25"/>
  <cols>
    <col min="1" max="1" width="3.140625" style="813" customWidth="1"/>
    <col min="2" max="2" width="33.42578125" style="813" customWidth="1"/>
    <col min="3" max="5" width="11.42578125" style="813"/>
    <col min="6" max="6" width="12" style="813" bestFit="1" customWidth="1"/>
    <col min="7" max="256" width="11.42578125" style="813"/>
    <col min="257" max="257" width="3.140625" style="813" customWidth="1"/>
    <col min="258" max="258" width="33.42578125" style="813" customWidth="1"/>
    <col min="259" max="261" width="11.42578125" style="813"/>
    <col min="262" max="262" width="12" style="813" bestFit="1" customWidth="1"/>
    <col min="263" max="512" width="11.42578125" style="813"/>
    <col min="513" max="513" width="3.140625" style="813" customWidth="1"/>
    <col min="514" max="514" width="33.42578125" style="813" customWidth="1"/>
    <col min="515" max="517" width="11.42578125" style="813"/>
    <col min="518" max="518" width="12" style="813" bestFit="1" customWidth="1"/>
    <col min="519" max="768" width="11.42578125" style="813"/>
    <col min="769" max="769" width="3.140625" style="813" customWidth="1"/>
    <col min="770" max="770" width="33.42578125" style="813" customWidth="1"/>
    <col min="771" max="773" width="11.42578125" style="813"/>
    <col min="774" max="774" width="12" style="813" bestFit="1" customWidth="1"/>
    <col min="775" max="1024" width="11.42578125" style="813"/>
    <col min="1025" max="1025" width="3.140625" style="813" customWidth="1"/>
    <col min="1026" max="1026" width="33.42578125" style="813" customWidth="1"/>
    <col min="1027" max="1029" width="11.42578125" style="813"/>
    <col min="1030" max="1030" width="12" style="813" bestFit="1" customWidth="1"/>
    <col min="1031" max="1280" width="11.42578125" style="813"/>
    <col min="1281" max="1281" width="3.140625" style="813" customWidth="1"/>
    <col min="1282" max="1282" width="33.42578125" style="813" customWidth="1"/>
    <col min="1283" max="1285" width="11.42578125" style="813"/>
    <col min="1286" max="1286" width="12" style="813" bestFit="1" customWidth="1"/>
    <col min="1287" max="1536" width="11.42578125" style="813"/>
    <col min="1537" max="1537" width="3.140625" style="813" customWidth="1"/>
    <col min="1538" max="1538" width="33.42578125" style="813" customWidth="1"/>
    <col min="1539" max="1541" width="11.42578125" style="813"/>
    <col min="1542" max="1542" width="12" style="813" bestFit="1" customWidth="1"/>
    <col min="1543" max="1792" width="11.42578125" style="813"/>
    <col min="1793" max="1793" width="3.140625" style="813" customWidth="1"/>
    <col min="1794" max="1794" width="33.42578125" style="813" customWidth="1"/>
    <col min="1795" max="1797" width="11.42578125" style="813"/>
    <col min="1798" max="1798" width="12" style="813" bestFit="1" customWidth="1"/>
    <col min="1799" max="2048" width="11.42578125" style="813"/>
    <col min="2049" max="2049" width="3.140625" style="813" customWidth="1"/>
    <col min="2050" max="2050" width="33.42578125" style="813" customWidth="1"/>
    <col min="2051" max="2053" width="11.42578125" style="813"/>
    <col min="2054" max="2054" width="12" style="813" bestFit="1" customWidth="1"/>
    <col min="2055" max="2304" width="11.42578125" style="813"/>
    <col min="2305" max="2305" width="3.140625" style="813" customWidth="1"/>
    <col min="2306" max="2306" width="33.42578125" style="813" customWidth="1"/>
    <col min="2307" max="2309" width="11.42578125" style="813"/>
    <col min="2310" max="2310" width="12" style="813" bestFit="1" customWidth="1"/>
    <col min="2311" max="2560" width="11.42578125" style="813"/>
    <col min="2561" max="2561" width="3.140625" style="813" customWidth="1"/>
    <col min="2562" max="2562" width="33.42578125" style="813" customWidth="1"/>
    <col min="2563" max="2565" width="11.42578125" style="813"/>
    <col min="2566" max="2566" width="12" style="813" bestFit="1" customWidth="1"/>
    <col min="2567" max="2816" width="11.42578125" style="813"/>
    <col min="2817" max="2817" width="3.140625" style="813" customWidth="1"/>
    <col min="2818" max="2818" width="33.42578125" style="813" customWidth="1"/>
    <col min="2819" max="2821" width="11.42578125" style="813"/>
    <col min="2822" max="2822" width="12" style="813" bestFit="1" customWidth="1"/>
    <col min="2823" max="3072" width="11.42578125" style="813"/>
    <col min="3073" max="3073" width="3.140625" style="813" customWidth="1"/>
    <col min="3074" max="3074" width="33.42578125" style="813" customWidth="1"/>
    <col min="3075" max="3077" width="11.42578125" style="813"/>
    <col min="3078" max="3078" width="12" style="813" bestFit="1" customWidth="1"/>
    <col min="3079" max="3328" width="11.42578125" style="813"/>
    <col min="3329" max="3329" width="3.140625" style="813" customWidth="1"/>
    <col min="3330" max="3330" width="33.42578125" style="813" customWidth="1"/>
    <col min="3331" max="3333" width="11.42578125" style="813"/>
    <col min="3334" max="3334" width="12" style="813" bestFit="1" customWidth="1"/>
    <col min="3335" max="3584" width="11.42578125" style="813"/>
    <col min="3585" max="3585" width="3.140625" style="813" customWidth="1"/>
    <col min="3586" max="3586" width="33.42578125" style="813" customWidth="1"/>
    <col min="3587" max="3589" width="11.42578125" style="813"/>
    <col min="3590" max="3590" width="12" style="813" bestFit="1" customWidth="1"/>
    <col min="3591" max="3840" width="11.42578125" style="813"/>
    <col min="3841" max="3841" width="3.140625" style="813" customWidth="1"/>
    <col min="3842" max="3842" width="33.42578125" style="813" customWidth="1"/>
    <col min="3843" max="3845" width="11.42578125" style="813"/>
    <col min="3846" max="3846" width="12" style="813" bestFit="1" customWidth="1"/>
    <col min="3847" max="4096" width="11.42578125" style="813"/>
    <col min="4097" max="4097" width="3.140625" style="813" customWidth="1"/>
    <col min="4098" max="4098" width="33.42578125" style="813" customWidth="1"/>
    <col min="4099" max="4101" width="11.42578125" style="813"/>
    <col min="4102" max="4102" width="12" style="813" bestFit="1" customWidth="1"/>
    <col min="4103" max="4352" width="11.42578125" style="813"/>
    <col min="4353" max="4353" width="3.140625" style="813" customWidth="1"/>
    <col min="4354" max="4354" width="33.42578125" style="813" customWidth="1"/>
    <col min="4355" max="4357" width="11.42578125" style="813"/>
    <col min="4358" max="4358" width="12" style="813" bestFit="1" customWidth="1"/>
    <col min="4359" max="4608" width="11.42578125" style="813"/>
    <col min="4609" max="4609" width="3.140625" style="813" customWidth="1"/>
    <col min="4610" max="4610" width="33.42578125" style="813" customWidth="1"/>
    <col min="4611" max="4613" width="11.42578125" style="813"/>
    <col min="4614" max="4614" width="12" style="813" bestFit="1" customWidth="1"/>
    <col min="4615" max="4864" width="11.42578125" style="813"/>
    <col min="4865" max="4865" width="3.140625" style="813" customWidth="1"/>
    <col min="4866" max="4866" width="33.42578125" style="813" customWidth="1"/>
    <col min="4867" max="4869" width="11.42578125" style="813"/>
    <col min="4870" max="4870" width="12" style="813" bestFit="1" customWidth="1"/>
    <col min="4871" max="5120" width="11.42578125" style="813"/>
    <col min="5121" max="5121" width="3.140625" style="813" customWidth="1"/>
    <col min="5122" max="5122" width="33.42578125" style="813" customWidth="1"/>
    <col min="5123" max="5125" width="11.42578125" style="813"/>
    <col min="5126" max="5126" width="12" style="813" bestFit="1" customWidth="1"/>
    <col min="5127" max="5376" width="11.42578125" style="813"/>
    <col min="5377" max="5377" width="3.140625" style="813" customWidth="1"/>
    <col min="5378" max="5378" width="33.42578125" style="813" customWidth="1"/>
    <col min="5379" max="5381" width="11.42578125" style="813"/>
    <col min="5382" max="5382" width="12" style="813" bestFit="1" customWidth="1"/>
    <col min="5383" max="5632" width="11.42578125" style="813"/>
    <col min="5633" max="5633" width="3.140625" style="813" customWidth="1"/>
    <col min="5634" max="5634" width="33.42578125" style="813" customWidth="1"/>
    <col min="5635" max="5637" width="11.42578125" style="813"/>
    <col min="5638" max="5638" width="12" style="813" bestFit="1" customWidth="1"/>
    <col min="5639" max="5888" width="11.42578125" style="813"/>
    <col min="5889" max="5889" width="3.140625" style="813" customWidth="1"/>
    <col min="5890" max="5890" width="33.42578125" style="813" customWidth="1"/>
    <col min="5891" max="5893" width="11.42578125" style="813"/>
    <col min="5894" max="5894" width="12" style="813" bestFit="1" customWidth="1"/>
    <col min="5895" max="6144" width="11.42578125" style="813"/>
    <col min="6145" max="6145" width="3.140625" style="813" customWidth="1"/>
    <col min="6146" max="6146" width="33.42578125" style="813" customWidth="1"/>
    <col min="6147" max="6149" width="11.42578125" style="813"/>
    <col min="6150" max="6150" width="12" style="813" bestFit="1" customWidth="1"/>
    <col min="6151" max="6400" width="11.42578125" style="813"/>
    <col min="6401" max="6401" width="3.140625" style="813" customWidth="1"/>
    <col min="6402" max="6402" width="33.42578125" style="813" customWidth="1"/>
    <col min="6403" max="6405" width="11.42578125" style="813"/>
    <col min="6406" max="6406" width="12" style="813" bestFit="1" customWidth="1"/>
    <col min="6407" max="6656" width="11.42578125" style="813"/>
    <col min="6657" max="6657" width="3.140625" style="813" customWidth="1"/>
    <col min="6658" max="6658" width="33.42578125" style="813" customWidth="1"/>
    <col min="6659" max="6661" width="11.42578125" style="813"/>
    <col min="6662" max="6662" width="12" style="813" bestFit="1" customWidth="1"/>
    <col min="6663" max="6912" width="11.42578125" style="813"/>
    <col min="6913" max="6913" width="3.140625" style="813" customWidth="1"/>
    <col min="6914" max="6914" width="33.42578125" style="813" customWidth="1"/>
    <col min="6915" max="6917" width="11.42578125" style="813"/>
    <col min="6918" max="6918" width="12" style="813" bestFit="1" customWidth="1"/>
    <col min="6919" max="7168" width="11.42578125" style="813"/>
    <col min="7169" max="7169" width="3.140625" style="813" customWidth="1"/>
    <col min="7170" max="7170" width="33.42578125" style="813" customWidth="1"/>
    <col min="7171" max="7173" width="11.42578125" style="813"/>
    <col min="7174" max="7174" width="12" style="813" bestFit="1" customWidth="1"/>
    <col min="7175" max="7424" width="11.42578125" style="813"/>
    <col min="7425" max="7425" width="3.140625" style="813" customWidth="1"/>
    <col min="7426" max="7426" width="33.42578125" style="813" customWidth="1"/>
    <col min="7427" max="7429" width="11.42578125" style="813"/>
    <col min="7430" max="7430" width="12" style="813" bestFit="1" customWidth="1"/>
    <col min="7431" max="7680" width="11.42578125" style="813"/>
    <col min="7681" max="7681" width="3.140625" style="813" customWidth="1"/>
    <col min="7682" max="7682" width="33.42578125" style="813" customWidth="1"/>
    <col min="7683" max="7685" width="11.42578125" style="813"/>
    <col min="7686" max="7686" width="12" style="813" bestFit="1" customWidth="1"/>
    <col min="7687" max="7936" width="11.42578125" style="813"/>
    <col min="7937" max="7937" width="3.140625" style="813" customWidth="1"/>
    <col min="7938" max="7938" width="33.42578125" style="813" customWidth="1"/>
    <col min="7939" max="7941" width="11.42578125" style="813"/>
    <col min="7942" max="7942" width="12" style="813" bestFit="1" customWidth="1"/>
    <col min="7943" max="8192" width="11.42578125" style="813"/>
    <col min="8193" max="8193" width="3.140625" style="813" customWidth="1"/>
    <col min="8194" max="8194" width="33.42578125" style="813" customWidth="1"/>
    <col min="8195" max="8197" width="11.42578125" style="813"/>
    <col min="8198" max="8198" width="12" style="813" bestFit="1" customWidth="1"/>
    <col min="8199" max="8448" width="11.42578125" style="813"/>
    <col min="8449" max="8449" width="3.140625" style="813" customWidth="1"/>
    <col min="8450" max="8450" width="33.42578125" style="813" customWidth="1"/>
    <col min="8451" max="8453" width="11.42578125" style="813"/>
    <col min="8454" max="8454" width="12" style="813" bestFit="1" customWidth="1"/>
    <col min="8455" max="8704" width="11.42578125" style="813"/>
    <col min="8705" max="8705" width="3.140625" style="813" customWidth="1"/>
    <col min="8706" max="8706" width="33.42578125" style="813" customWidth="1"/>
    <col min="8707" max="8709" width="11.42578125" style="813"/>
    <col min="8710" max="8710" width="12" style="813" bestFit="1" customWidth="1"/>
    <col min="8711" max="8960" width="11.42578125" style="813"/>
    <col min="8961" max="8961" width="3.140625" style="813" customWidth="1"/>
    <col min="8962" max="8962" width="33.42578125" style="813" customWidth="1"/>
    <col min="8963" max="8965" width="11.42578125" style="813"/>
    <col min="8966" max="8966" width="12" style="813" bestFit="1" customWidth="1"/>
    <col min="8967" max="9216" width="11.42578125" style="813"/>
    <col min="9217" max="9217" width="3.140625" style="813" customWidth="1"/>
    <col min="9218" max="9218" width="33.42578125" style="813" customWidth="1"/>
    <col min="9219" max="9221" width="11.42578125" style="813"/>
    <col min="9222" max="9222" width="12" style="813" bestFit="1" customWidth="1"/>
    <col min="9223" max="9472" width="11.42578125" style="813"/>
    <col min="9473" max="9473" width="3.140625" style="813" customWidth="1"/>
    <col min="9474" max="9474" width="33.42578125" style="813" customWidth="1"/>
    <col min="9475" max="9477" width="11.42578125" style="813"/>
    <col min="9478" max="9478" width="12" style="813" bestFit="1" customWidth="1"/>
    <col min="9479" max="9728" width="11.42578125" style="813"/>
    <col min="9729" max="9729" width="3.140625" style="813" customWidth="1"/>
    <col min="9730" max="9730" width="33.42578125" style="813" customWidth="1"/>
    <col min="9731" max="9733" width="11.42578125" style="813"/>
    <col min="9734" max="9734" width="12" style="813" bestFit="1" customWidth="1"/>
    <col min="9735" max="9984" width="11.42578125" style="813"/>
    <col min="9985" max="9985" width="3.140625" style="813" customWidth="1"/>
    <col min="9986" max="9986" width="33.42578125" style="813" customWidth="1"/>
    <col min="9987" max="9989" width="11.42578125" style="813"/>
    <col min="9990" max="9990" width="12" style="813" bestFit="1" customWidth="1"/>
    <col min="9991" max="10240" width="11.42578125" style="813"/>
    <col min="10241" max="10241" width="3.140625" style="813" customWidth="1"/>
    <col min="10242" max="10242" width="33.42578125" style="813" customWidth="1"/>
    <col min="10243" max="10245" width="11.42578125" style="813"/>
    <col min="10246" max="10246" width="12" style="813" bestFit="1" customWidth="1"/>
    <col min="10247" max="10496" width="11.42578125" style="813"/>
    <col min="10497" max="10497" width="3.140625" style="813" customWidth="1"/>
    <col min="10498" max="10498" width="33.42578125" style="813" customWidth="1"/>
    <col min="10499" max="10501" width="11.42578125" style="813"/>
    <col min="10502" max="10502" width="12" style="813" bestFit="1" customWidth="1"/>
    <col min="10503" max="10752" width="11.42578125" style="813"/>
    <col min="10753" max="10753" width="3.140625" style="813" customWidth="1"/>
    <col min="10754" max="10754" width="33.42578125" style="813" customWidth="1"/>
    <col min="10755" max="10757" width="11.42578125" style="813"/>
    <col min="10758" max="10758" width="12" style="813" bestFit="1" customWidth="1"/>
    <col min="10759" max="11008" width="11.42578125" style="813"/>
    <col min="11009" max="11009" width="3.140625" style="813" customWidth="1"/>
    <col min="11010" max="11010" width="33.42578125" style="813" customWidth="1"/>
    <col min="11011" max="11013" width="11.42578125" style="813"/>
    <col min="11014" max="11014" width="12" style="813" bestFit="1" customWidth="1"/>
    <col min="11015" max="11264" width="11.42578125" style="813"/>
    <col min="11265" max="11265" width="3.140625" style="813" customWidth="1"/>
    <col min="11266" max="11266" width="33.42578125" style="813" customWidth="1"/>
    <col min="11267" max="11269" width="11.42578125" style="813"/>
    <col min="11270" max="11270" width="12" style="813" bestFit="1" customWidth="1"/>
    <col min="11271" max="11520" width="11.42578125" style="813"/>
    <col min="11521" max="11521" width="3.140625" style="813" customWidth="1"/>
    <col min="11522" max="11522" width="33.42578125" style="813" customWidth="1"/>
    <col min="11523" max="11525" width="11.42578125" style="813"/>
    <col min="11526" max="11526" width="12" style="813" bestFit="1" customWidth="1"/>
    <col min="11527" max="11776" width="11.42578125" style="813"/>
    <col min="11777" max="11777" width="3.140625" style="813" customWidth="1"/>
    <col min="11778" max="11778" width="33.42578125" style="813" customWidth="1"/>
    <col min="11779" max="11781" width="11.42578125" style="813"/>
    <col min="11782" max="11782" width="12" style="813" bestFit="1" customWidth="1"/>
    <col min="11783" max="12032" width="11.42578125" style="813"/>
    <col min="12033" max="12033" width="3.140625" style="813" customWidth="1"/>
    <col min="12034" max="12034" width="33.42578125" style="813" customWidth="1"/>
    <col min="12035" max="12037" width="11.42578125" style="813"/>
    <col min="12038" max="12038" width="12" style="813" bestFit="1" customWidth="1"/>
    <col min="12039" max="12288" width="11.42578125" style="813"/>
    <col min="12289" max="12289" width="3.140625" style="813" customWidth="1"/>
    <col min="12290" max="12290" width="33.42578125" style="813" customWidth="1"/>
    <col min="12291" max="12293" width="11.42578125" style="813"/>
    <col min="12294" max="12294" width="12" style="813" bestFit="1" customWidth="1"/>
    <col min="12295" max="12544" width="11.42578125" style="813"/>
    <col min="12545" max="12545" width="3.140625" style="813" customWidth="1"/>
    <col min="12546" max="12546" width="33.42578125" style="813" customWidth="1"/>
    <col min="12547" max="12549" width="11.42578125" style="813"/>
    <col min="12550" max="12550" width="12" style="813" bestFit="1" customWidth="1"/>
    <col min="12551" max="12800" width="11.42578125" style="813"/>
    <col min="12801" max="12801" width="3.140625" style="813" customWidth="1"/>
    <col min="12802" max="12802" width="33.42578125" style="813" customWidth="1"/>
    <col min="12803" max="12805" width="11.42578125" style="813"/>
    <col min="12806" max="12806" width="12" style="813" bestFit="1" customWidth="1"/>
    <col min="12807" max="13056" width="11.42578125" style="813"/>
    <col min="13057" max="13057" width="3.140625" style="813" customWidth="1"/>
    <col min="13058" max="13058" width="33.42578125" style="813" customWidth="1"/>
    <col min="13059" max="13061" width="11.42578125" style="813"/>
    <col min="13062" max="13062" width="12" style="813" bestFit="1" customWidth="1"/>
    <col min="13063" max="13312" width="11.42578125" style="813"/>
    <col min="13313" max="13313" width="3.140625" style="813" customWidth="1"/>
    <col min="13314" max="13314" width="33.42578125" style="813" customWidth="1"/>
    <col min="13315" max="13317" width="11.42578125" style="813"/>
    <col min="13318" max="13318" width="12" style="813" bestFit="1" customWidth="1"/>
    <col min="13319" max="13568" width="11.42578125" style="813"/>
    <col min="13569" max="13569" width="3.140625" style="813" customWidth="1"/>
    <col min="13570" max="13570" width="33.42578125" style="813" customWidth="1"/>
    <col min="13571" max="13573" width="11.42578125" style="813"/>
    <col min="13574" max="13574" width="12" style="813" bestFit="1" customWidth="1"/>
    <col min="13575" max="13824" width="11.42578125" style="813"/>
    <col min="13825" max="13825" width="3.140625" style="813" customWidth="1"/>
    <col min="13826" max="13826" width="33.42578125" style="813" customWidth="1"/>
    <col min="13827" max="13829" width="11.42578125" style="813"/>
    <col min="13830" max="13830" width="12" style="813" bestFit="1" customWidth="1"/>
    <col min="13831" max="14080" width="11.42578125" style="813"/>
    <col min="14081" max="14081" width="3.140625" style="813" customWidth="1"/>
    <col min="14082" max="14082" width="33.42578125" style="813" customWidth="1"/>
    <col min="14083" max="14085" width="11.42578125" style="813"/>
    <col min="14086" max="14086" width="12" style="813" bestFit="1" customWidth="1"/>
    <col min="14087" max="14336" width="11.42578125" style="813"/>
    <col min="14337" max="14337" width="3.140625" style="813" customWidth="1"/>
    <col min="14338" max="14338" width="33.42578125" style="813" customWidth="1"/>
    <col min="14339" max="14341" width="11.42578125" style="813"/>
    <col min="14342" max="14342" width="12" style="813" bestFit="1" customWidth="1"/>
    <col min="14343" max="14592" width="11.42578125" style="813"/>
    <col min="14593" max="14593" width="3.140625" style="813" customWidth="1"/>
    <col min="14594" max="14594" width="33.42578125" style="813" customWidth="1"/>
    <col min="14595" max="14597" width="11.42578125" style="813"/>
    <col min="14598" max="14598" width="12" style="813" bestFit="1" customWidth="1"/>
    <col min="14599" max="14848" width="11.42578125" style="813"/>
    <col min="14849" max="14849" width="3.140625" style="813" customWidth="1"/>
    <col min="14850" max="14850" width="33.42578125" style="813" customWidth="1"/>
    <col min="14851" max="14853" width="11.42578125" style="813"/>
    <col min="14854" max="14854" width="12" style="813" bestFit="1" customWidth="1"/>
    <col min="14855" max="15104" width="11.42578125" style="813"/>
    <col min="15105" max="15105" width="3.140625" style="813" customWidth="1"/>
    <col min="15106" max="15106" width="33.42578125" style="813" customWidth="1"/>
    <col min="15107" max="15109" width="11.42578125" style="813"/>
    <col min="15110" max="15110" width="12" style="813" bestFit="1" customWidth="1"/>
    <col min="15111" max="15360" width="11.42578125" style="813"/>
    <col min="15361" max="15361" width="3.140625" style="813" customWidth="1"/>
    <col min="15362" max="15362" width="33.42578125" style="813" customWidth="1"/>
    <col min="15363" max="15365" width="11.42578125" style="813"/>
    <col min="15366" max="15366" width="12" style="813" bestFit="1" customWidth="1"/>
    <col min="15367" max="15616" width="11.42578125" style="813"/>
    <col min="15617" max="15617" width="3.140625" style="813" customWidth="1"/>
    <col min="15618" max="15618" width="33.42578125" style="813" customWidth="1"/>
    <col min="15619" max="15621" width="11.42578125" style="813"/>
    <col min="15622" max="15622" width="12" style="813" bestFit="1" customWidth="1"/>
    <col min="15623" max="15872" width="11.42578125" style="813"/>
    <col min="15873" max="15873" width="3.140625" style="813" customWidth="1"/>
    <col min="15874" max="15874" width="33.42578125" style="813" customWidth="1"/>
    <col min="15875" max="15877" width="11.42578125" style="813"/>
    <col min="15878" max="15878" width="12" style="813" bestFit="1" customWidth="1"/>
    <col min="15879" max="16128" width="11.42578125" style="813"/>
    <col min="16129" max="16129" width="3.140625" style="813" customWidth="1"/>
    <col min="16130" max="16130" width="33.42578125" style="813" customWidth="1"/>
    <col min="16131" max="16133" width="11.42578125" style="813"/>
    <col min="16134" max="16134" width="12" style="813" bestFit="1" customWidth="1"/>
    <col min="16135" max="16384" width="11.42578125" style="813"/>
  </cols>
  <sheetData>
    <row r="1" spans="2:10" x14ac:dyDescent="0.25">
      <c r="B1" s="819" t="s">
        <v>425</v>
      </c>
    </row>
    <row r="2" spans="2:10" x14ac:dyDescent="0.25">
      <c r="B2" s="819" t="s">
        <v>496</v>
      </c>
    </row>
    <row r="3" spans="2:10" x14ac:dyDescent="0.25">
      <c r="B3" s="819" t="s">
        <v>497</v>
      </c>
    </row>
    <row r="4" spans="2:10" ht="16.5" thickBot="1" x14ac:dyDescent="0.3"/>
    <row r="5" spans="2:10" ht="16.5" thickBot="1" x14ac:dyDescent="0.3">
      <c r="B5" s="857" t="s">
        <v>498</v>
      </c>
      <c r="C5" s="858">
        <v>2011</v>
      </c>
      <c r="D5" s="858">
        <v>2012</v>
      </c>
      <c r="E5" s="859">
        <v>2013</v>
      </c>
    </row>
    <row r="6" spans="2:10" x14ac:dyDescent="0.25">
      <c r="B6" s="860" t="s">
        <v>499</v>
      </c>
      <c r="C6" s="809">
        <v>100</v>
      </c>
      <c r="D6" s="809">
        <v>114</v>
      </c>
      <c r="E6" s="864">
        <v>116</v>
      </c>
      <c r="F6" s="862"/>
      <c r="G6" s="862"/>
      <c r="H6" s="862"/>
      <c r="I6" s="862"/>
      <c r="J6" s="862"/>
    </row>
    <row r="7" spans="2:10" x14ac:dyDescent="0.25">
      <c r="B7" s="860" t="s">
        <v>500</v>
      </c>
      <c r="C7" s="863">
        <v>3.78</v>
      </c>
      <c r="D7" s="863">
        <v>2.33</v>
      </c>
      <c r="E7" s="861">
        <v>2.12</v>
      </c>
      <c r="F7" s="862"/>
      <c r="G7" s="862"/>
      <c r="H7" s="862"/>
      <c r="I7" s="862"/>
      <c r="J7" s="862"/>
    </row>
    <row r="8" spans="2:10" x14ac:dyDescent="0.25">
      <c r="B8" s="860" t="s">
        <v>501</v>
      </c>
      <c r="C8" s="809">
        <v>48</v>
      </c>
      <c r="D8" s="809">
        <v>50</v>
      </c>
      <c r="E8" s="861">
        <v>53</v>
      </c>
      <c r="F8" s="862"/>
      <c r="G8" s="862"/>
      <c r="H8" s="862"/>
      <c r="I8" s="862"/>
      <c r="J8" s="862"/>
    </row>
    <row r="9" spans="2:10" x14ac:dyDescent="0.25">
      <c r="B9" s="860" t="s">
        <v>502</v>
      </c>
      <c r="C9" s="809">
        <f>+C6*C7*C8</f>
        <v>18144</v>
      </c>
      <c r="D9" s="809">
        <f>+D6*D7*D8</f>
        <v>13281</v>
      </c>
      <c r="E9" s="864">
        <f>+E6*E7*E8</f>
        <v>13033.76</v>
      </c>
      <c r="F9" s="862"/>
      <c r="G9" s="862"/>
      <c r="H9" s="862"/>
      <c r="I9" s="862"/>
      <c r="J9" s="862"/>
    </row>
    <row r="10" spans="2:10" x14ac:dyDescent="0.25">
      <c r="B10" s="860" t="s">
        <v>503</v>
      </c>
      <c r="C10" s="809">
        <f>+C9*0.3</f>
        <v>5443.2</v>
      </c>
      <c r="D10" s="809">
        <f>+D9*0.3</f>
        <v>3984.2999999999997</v>
      </c>
      <c r="E10" s="864">
        <f>+E9*0.3</f>
        <v>3910.1279999999997</v>
      </c>
      <c r="F10" s="862"/>
      <c r="G10" s="862"/>
      <c r="H10" s="862"/>
      <c r="I10" s="862"/>
      <c r="J10" s="862"/>
    </row>
    <row r="11" spans="2:10" ht="16.5" thickBot="1" x14ac:dyDescent="0.3">
      <c r="B11" s="865" t="s">
        <v>342</v>
      </c>
      <c r="C11" s="866">
        <f>+C9-C10</f>
        <v>12700.8</v>
      </c>
      <c r="D11" s="866">
        <f>+D9-D10</f>
        <v>9296.7000000000007</v>
      </c>
      <c r="E11" s="867">
        <f>+E9-E10</f>
        <v>9123.6320000000014</v>
      </c>
      <c r="F11" s="862"/>
      <c r="G11" s="862"/>
      <c r="H11" s="862"/>
      <c r="I11" s="862"/>
      <c r="J11" s="862"/>
    </row>
    <row r="12" spans="2:10" x14ac:dyDescent="0.25">
      <c r="C12" s="868"/>
      <c r="D12" s="868"/>
      <c r="E12" s="868"/>
      <c r="F12" s="862"/>
      <c r="G12" s="862"/>
      <c r="H12" s="862"/>
      <c r="I12" s="862"/>
      <c r="J12" s="862"/>
    </row>
    <row r="13" spans="2:10" x14ac:dyDescent="0.25">
      <c r="B13" s="819" t="s">
        <v>504</v>
      </c>
      <c r="C13" s="862"/>
      <c r="D13" s="862"/>
      <c r="E13" s="862"/>
      <c r="F13" s="862"/>
      <c r="G13" s="862"/>
      <c r="H13" s="862"/>
      <c r="I13" s="862"/>
      <c r="J13" s="862"/>
    </row>
    <row r="14" spans="2:10" x14ac:dyDescent="0.25">
      <c r="C14" s="862"/>
      <c r="D14" s="862"/>
      <c r="E14" s="862"/>
      <c r="F14" s="862"/>
      <c r="G14" s="862"/>
      <c r="H14" s="862"/>
      <c r="I14" s="862"/>
      <c r="J14" s="862"/>
    </row>
    <row r="15" spans="2:10" x14ac:dyDescent="0.25">
      <c r="B15" s="813" t="s">
        <v>488</v>
      </c>
      <c r="C15" s="862" t="s">
        <v>505</v>
      </c>
      <c r="D15" s="862" t="s">
        <v>506</v>
      </c>
      <c r="E15" s="862"/>
      <c r="F15" s="862"/>
      <c r="G15" s="862"/>
      <c r="H15" s="862"/>
      <c r="I15" s="862"/>
      <c r="J15" s="862"/>
    </row>
    <row r="16" spans="2:10" x14ac:dyDescent="0.25">
      <c r="C16" s="862"/>
      <c r="D16" s="862" t="s">
        <v>10</v>
      </c>
      <c r="E16" s="862"/>
      <c r="F16" s="862"/>
      <c r="G16" s="862"/>
      <c r="H16" s="862"/>
      <c r="I16" s="862"/>
      <c r="J16" s="862"/>
    </row>
    <row r="17" spans="2:10" ht="16.5" thickBot="1" x14ac:dyDescent="0.3">
      <c r="C17" s="862"/>
      <c r="D17" s="862"/>
      <c r="E17" s="862"/>
      <c r="F17" s="862"/>
      <c r="G17" s="862"/>
      <c r="H17" s="862"/>
      <c r="I17" s="862"/>
      <c r="J17" s="862"/>
    </row>
    <row r="18" spans="2:10" ht="16.5" thickBot="1" x14ac:dyDescent="0.3">
      <c r="B18" s="869" t="s">
        <v>511</v>
      </c>
      <c r="C18" s="870"/>
      <c r="D18" s="870"/>
      <c r="E18" s="870"/>
      <c r="F18" s="871"/>
      <c r="G18" s="862"/>
      <c r="H18" s="862"/>
      <c r="I18" s="862"/>
      <c r="J18" s="862"/>
    </row>
    <row r="19" spans="2:10" ht="16.5" thickBot="1" x14ac:dyDescent="0.3">
      <c r="B19" s="857" t="s">
        <v>498</v>
      </c>
      <c r="C19" s="858">
        <v>2011</v>
      </c>
      <c r="D19" s="858">
        <v>2012</v>
      </c>
      <c r="E19" s="859">
        <v>2013</v>
      </c>
      <c r="F19" s="872"/>
    </row>
    <row r="20" spans="2:10" x14ac:dyDescent="0.25">
      <c r="B20" s="860" t="s">
        <v>499</v>
      </c>
      <c r="C20" s="809">
        <v>100</v>
      </c>
      <c r="D20" s="809">
        <v>114</v>
      </c>
      <c r="E20" s="809">
        <v>116</v>
      </c>
      <c r="F20" s="872"/>
    </row>
    <row r="21" spans="2:10" x14ac:dyDescent="0.25">
      <c r="B21" s="860" t="s">
        <v>500</v>
      </c>
      <c r="C21" s="873">
        <v>3.78</v>
      </c>
      <c r="D21" s="873">
        <v>3.78</v>
      </c>
      <c r="E21" s="873">
        <v>3.78</v>
      </c>
      <c r="F21" s="872"/>
    </row>
    <row r="22" spans="2:10" x14ac:dyDescent="0.25">
      <c r="B22" s="860" t="s">
        <v>501</v>
      </c>
      <c r="C22" s="809">
        <v>48</v>
      </c>
      <c r="D22" s="809">
        <v>50</v>
      </c>
      <c r="E22" s="863">
        <v>53</v>
      </c>
      <c r="F22" s="872"/>
    </row>
    <row r="23" spans="2:10" x14ac:dyDescent="0.25">
      <c r="B23" s="860" t="s">
        <v>502</v>
      </c>
      <c r="C23" s="809">
        <f>+C20*C21*C22</f>
        <v>18144</v>
      </c>
      <c r="D23" s="809">
        <f>+D20*D21*D22</f>
        <v>21545.999999999996</v>
      </c>
      <c r="E23" s="809">
        <f>+E20*E21*E22</f>
        <v>23239.439999999999</v>
      </c>
      <c r="F23" s="872"/>
    </row>
    <row r="24" spans="2:10" x14ac:dyDescent="0.25">
      <c r="B24" s="860" t="s">
        <v>503</v>
      </c>
      <c r="C24" s="809">
        <f>+C23*0.3</f>
        <v>5443.2</v>
      </c>
      <c r="D24" s="809">
        <f>+D23*0.3</f>
        <v>6463.7999999999984</v>
      </c>
      <c r="E24" s="809">
        <f>+E23*0.3</f>
        <v>6971.8319999999994</v>
      </c>
      <c r="F24" s="872"/>
    </row>
    <row r="25" spans="2:10" x14ac:dyDescent="0.25">
      <c r="B25" s="860" t="s">
        <v>342</v>
      </c>
      <c r="C25" s="809">
        <f>+C23-C24</f>
        <v>12700.8</v>
      </c>
      <c r="D25" s="809">
        <f>+D23-D24</f>
        <v>15082.199999999997</v>
      </c>
      <c r="E25" s="809">
        <f>+E23-E24</f>
        <v>16267.608</v>
      </c>
      <c r="F25" s="872"/>
    </row>
    <row r="26" spans="2:10" ht="16.5" thickBot="1" x14ac:dyDescent="0.3">
      <c r="B26" s="860" t="s">
        <v>507</v>
      </c>
      <c r="C26" s="809">
        <f>+C11</f>
        <v>12700.8</v>
      </c>
      <c r="D26" s="809">
        <f>+D11</f>
        <v>9296.7000000000007</v>
      </c>
      <c r="E26" s="809">
        <f>+E11</f>
        <v>9123.6320000000014</v>
      </c>
      <c r="F26" s="872"/>
    </row>
    <row r="27" spans="2:10" ht="16.5" thickBot="1" x14ac:dyDescent="0.3">
      <c r="B27" s="874" t="s">
        <v>508</v>
      </c>
      <c r="C27" s="875">
        <f>+C25-C26</f>
        <v>0</v>
      </c>
      <c r="D27" s="875">
        <f>+D25-D26</f>
        <v>5785.4999999999964</v>
      </c>
      <c r="E27" s="875">
        <f>+E25-E26</f>
        <v>7143.9759999999987</v>
      </c>
      <c r="F27" s="876">
        <f>SUM(C27:E27)</f>
        <v>12929.475999999995</v>
      </c>
    </row>
    <row r="28" spans="2:10" ht="16.5" thickBot="1" x14ac:dyDescent="0.3">
      <c r="B28" s="860" t="s">
        <v>509</v>
      </c>
      <c r="C28" s="877"/>
      <c r="D28" s="877">
        <v>0.05</v>
      </c>
      <c r="E28" s="877"/>
      <c r="F28" s="864"/>
    </row>
    <row r="29" spans="2:10" ht="16.5" thickBot="1" x14ac:dyDescent="0.3">
      <c r="B29" s="874" t="s">
        <v>510</v>
      </c>
      <c r="C29" s="875"/>
      <c r="D29" s="875">
        <f>+D27*(1+D28)</f>
        <v>6074.774999999996</v>
      </c>
      <c r="E29" s="875">
        <f>+E27*(1+E28)</f>
        <v>7143.9759999999987</v>
      </c>
      <c r="F29" s="876">
        <f>SUM(D29:E29)</f>
        <v>13218.750999999995</v>
      </c>
    </row>
    <row r="30" spans="2:10" ht="16.5" thickBot="1" x14ac:dyDescent="0.3"/>
    <row r="31" spans="2:10" ht="16.5" thickBot="1" x14ac:dyDescent="0.3">
      <c r="B31" s="869" t="s">
        <v>512</v>
      </c>
      <c r="C31" s="870"/>
      <c r="D31" s="870"/>
      <c r="E31" s="870"/>
      <c r="F31" s="878"/>
    </row>
    <row r="32" spans="2:10" ht="16.5" thickBot="1" x14ac:dyDescent="0.3">
      <c r="B32" s="857" t="s">
        <v>498</v>
      </c>
      <c r="C32" s="879">
        <v>2011</v>
      </c>
      <c r="D32" s="879">
        <v>2012</v>
      </c>
      <c r="E32" s="879">
        <v>2013</v>
      </c>
      <c r="F32" s="872"/>
    </row>
    <row r="33" spans="2:6" x14ac:dyDescent="0.25">
      <c r="B33" s="860" t="s">
        <v>499</v>
      </c>
      <c r="C33" s="809">
        <v>100</v>
      </c>
      <c r="D33" s="809">
        <v>114</v>
      </c>
      <c r="E33" s="809">
        <v>116</v>
      </c>
      <c r="F33" s="872"/>
    </row>
    <row r="34" spans="2:6" x14ac:dyDescent="0.25">
      <c r="B34" s="860" t="s">
        <v>500</v>
      </c>
      <c r="C34" s="873">
        <v>4.33</v>
      </c>
      <c r="D34" s="873">
        <v>4.33</v>
      </c>
      <c r="E34" s="873">
        <v>4.12</v>
      </c>
      <c r="F34" s="872"/>
    </row>
    <row r="35" spans="2:6" x14ac:dyDescent="0.25">
      <c r="B35" s="860" t="s">
        <v>501</v>
      </c>
      <c r="C35" s="809">
        <v>48</v>
      </c>
      <c r="D35" s="809">
        <v>50</v>
      </c>
      <c r="E35" s="863">
        <v>53</v>
      </c>
      <c r="F35" s="872"/>
    </row>
    <row r="36" spans="2:6" x14ac:dyDescent="0.25">
      <c r="B36" s="860" t="s">
        <v>502</v>
      </c>
      <c r="C36" s="809">
        <f>+C33*C34*C35</f>
        <v>20784</v>
      </c>
      <c r="D36" s="809">
        <f>+D33*D34*D35</f>
        <v>24681</v>
      </c>
      <c r="E36" s="809">
        <f>+E33*E34*E35</f>
        <v>25329.760000000002</v>
      </c>
      <c r="F36" s="872"/>
    </row>
    <row r="37" spans="2:6" x14ac:dyDescent="0.25">
      <c r="B37" s="860" t="s">
        <v>503</v>
      </c>
      <c r="C37" s="809">
        <f>+C36*0.3</f>
        <v>6235.2</v>
      </c>
      <c r="D37" s="809">
        <f>+D36*0.3</f>
        <v>7404.2999999999993</v>
      </c>
      <c r="E37" s="809">
        <f>+E36*0.3</f>
        <v>7598.9279999999999</v>
      </c>
      <c r="F37" s="872"/>
    </row>
    <row r="38" spans="2:6" x14ac:dyDescent="0.25">
      <c r="B38" s="860" t="s">
        <v>342</v>
      </c>
      <c r="C38" s="809">
        <f>+C36-C37</f>
        <v>14548.8</v>
      </c>
      <c r="D38" s="809">
        <f>+D36-D37</f>
        <v>17276.7</v>
      </c>
      <c r="E38" s="809">
        <f>+E36-E37</f>
        <v>17730.832000000002</v>
      </c>
      <c r="F38" s="872"/>
    </row>
    <row r="39" spans="2:6" ht="16.5" thickBot="1" x14ac:dyDescent="0.3">
      <c r="B39" s="860" t="s">
        <v>507</v>
      </c>
      <c r="C39" s="809">
        <f>+C25</f>
        <v>12700.8</v>
      </c>
      <c r="D39" s="809">
        <f>+D11</f>
        <v>9296.7000000000007</v>
      </c>
      <c r="E39" s="809">
        <f>+E11</f>
        <v>9123.6320000000014</v>
      </c>
      <c r="F39" s="872"/>
    </row>
    <row r="40" spans="2:6" ht="16.5" thickBot="1" x14ac:dyDescent="0.3">
      <c r="B40" s="874" t="s">
        <v>508</v>
      </c>
      <c r="C40" s="875">
        <f>+C38-C39</f>
        <v>1848</v>
      </c>
      <c r="D40" s="875">
        <f>+D38-D39</f>
        <v>7980</v>
      </c>
      <c r="E40" s="876">
        <f>+E38-E39</f>
        <v>8607.2000000000007</v>
      </c>
      <c r="F40" s="880">
        <f>SUM(C40:E40)</f>
        <v>18435.2</v>
      </c>
    </row>
    <row r="41" spans="2:6" ht="16.5" thickBot="1" x14ac:dyDescent="0.3">
      <c r="B41" s="860" t="s">
        <v>509</v>
      </c>
      <c r="C41" s="877">
        <v>0.05</v>
      </c>
      <c r="D41" s="877">
        <v>0.05</v>
      </c>
      <c r="E41" s="877"/>
      <c r="F41" s="864"/>
    </row>
    <row r="42" spans="2:6" ht="16.5" thickBot="1" x14ac:dyDescent="0.3">
      <c r="B42" s="874" t="s">
        <v>510</v>
      </c>
      <c r="C42" s="875">
        <f>+C40*(1+C41)^2</f>
        <v>2037.42</v>
      </c>
      <c r="D42" s="875">
        <f>+D40*(1+D41)</f>
        <v>8379</v>
      </c>
      <c r="E42" s="875">
        <f>+E40*(1+E41)</f>
        <v>8607.2000000000007</v>
      </c>
      <c r="F42" s="876">
        <f>SUM(C42:E42)</f>
        <v>19023.620000000003</v>
      </c>
    </row>
    <row r="43" spans="2:6" ht="16.5" thickBot="1" x14ac:dyDescent="0.3"/>
    <row r="44" spans="2:6" ht="16.5" thickBot="1" x14ac:dyDescent="0.3">
      <c r="B44" s="874"/>
      <c r="C44" s="881"/>
      <c r="D44" s="881" t="s">
        <v>86</v>
      </c>
      <c r="E44" s="882"/>
      <c r="F44" s="883">
        <f>(+F42+F29)/2</f>
        <v>16121.1855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showGridLines="0" workbookViewId="0">
      <selection activeCell="H7" sqref="H7"/>
    </sheetView>
  </sheetViews>
  <sheetFormatPr baseColWidth="10" defaultColWidth="9.140625" defaultRowHeight="15" x14ac:dyDescent="0.25"/>
  <sheetData>
    <row r="3" spans="2:2" x14ac:dyDescent="0.25">
      <c r="B3" t="s">
        <v>860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workbookViewId="0">
      <selection activeCell="R27" sqref="R27"/>
    </sheetView>
  </sheetViews>
  <sheetFormatPr baseColWidth="10" defaultColWidth="9.140625" defaultRowHeight="15.75" x14ac:dyDescent="0.25"/>
  <cols>
    <col min="1" max="1" width="25.28515625" style="884" customWidth="1"/>
    <col min="2" max="2" width="7.28515625" style="884" bestFit="1" customWidth="1"/>
    <col min="3" max="3" width="9.42578125" style="884" bestFit="1" customWidth="1"/>
    <col min="4" max="4" width="8.42578125" style="884" bestFit="1" customWidth="1"/>
    <col min="5" max="8" width="7.85546875" style="884" bestFit="1" customWidth="1"/>
    <col min="9" max="9" width="8.28515625" style="884" bestFit="1" customWidth="1"/>
    <col min="10" max="10" width="7.85546875" style="884" bestFit="1" customWidth="1"/>
    <col min="11" max="17" width="9.140625" style="884"/>
    <col min="18" max="230" width="11.42578125" style="289" customWidth="1"/>
    <col min="231" max="231" width="25.28515625" style="289" customWidth="1"/>
    <col min="232" max="233" width="7" style="289" bestFit="1" customWidth="1"/>
    <col min="234" max="234" width="7.42578125" style="289" bestFit="1" customWidth="1"/>
    <col min="235" max="240" width="7.28515625" style="289" bestFit="1" customWidth="1"/>
    <col min="241" max="273" width="9.140625" style="289"/>
    <col min="274" max="486" width="11.42578125" style="289" customWidth="1"/>
    <col min="487" max="487" width="25.28515625" style="289" customWidth="1"/>
    <col min="488" max="489" width="7" style="289" bestFit="1" customWidth="1"/>
    <col min="490" max="490" width="7.42578125" style="289" bestFit="1" customWidth="1"/>
    <col min="491" max="496" width="7.28515625" style="289" bestFit="1" customWidth="1"/>
    <col min="497" max="529" width="9.140625" style="289"/>
    <col min="530" max="742" width="11.42578125" style="289" customWidth="1"/>
    <col min="743" max="743" width="25.28515625" style="289" customWidth="1"/>
    <col min="744" max="745" width="7" style="289" bestFit="1" customWidth="1"/>
    <col min="746" max="746" width="7.42578125" style="289" bestFit="1" customWidth="1"/>
    <col min="747" max="752" width="7.28515625" style="289" bestFit="1" customWidth="1"/>
    <col min="753" max="785" width="9.140625" style="289"/>
    <col min="786" max="998" width="11.42578125" style="289" customWidth="1"/>
    <col min="999" max="999" width="25.28515625" style="289" customWidth="1"/>
    <col min="1000" max="1001" width="7" style="289" bestFit="1" customWidth="1"/>
    <col min="1002" max="1002" width="7.42578125" style="289" bestFit="1" customWidth="1"/>
    <col min="1003" max="1008" width="7.28515625" style="289" bestFit="1" customWidth="1"/>
    <col min="1009" max="1041" width="9.140625" style="289"/>
    <col min="1042" max="1254" width="11.42578125" style="289" customWidth="1"/>
    <col min="1255" max="1255" width="25.28515625" style="289" customWidth="1"/>
    <col min="1256" max="1257" width="7" style="289" bestFit="1" customWidth="1"/>
    <col min="1258" max="1258" width="7.42578125" style="289" bestFit="1" customWidth="1"/>
    <col min="1259" max="1264" width="7.28515625" style="289" bestFit="1" customWidth="1"/>
    <col min="1265" max="1297" width="9.140625" style="289"/>
    <col min="1298" max="1510" width="11.42578125" style="289" customWidth="1"/>
    <col min="1511" max="1511" width="25.28515625" style="289" customWidth="1"/>
    <col min="1512" max="1513" width="7" style="289" bestFit="1" customWidth="1"/>
    <col min="1514" max="1514" width="7.42578125" style="289" bestFit="1" customWidth="1"/>
    <col min="1515" max="1520" width="7.28515625" style="289" bestFit="1" customWidth="1"/>
    <col min="1521" max="1553" width="9.140625" style="289"/>
    <col min="1554" max="1766" width="11.42578125" style="289" customWidth="1"/>
    <col min="1767" max="1767" width="25.28515625" style="289" customWidth="1"/>
    <col min="1768" max="1769" width="7" style="289" bestFit="1" customWidth="1"/>
    <col min="1770" max="1770" width="7.42578125" style="289" bestFit="1" customWidth="1"/>
    <col min="1771" max="1776" width="7.28515625" style="289" bestFit="1" customWidth="1"/>
    <col min="1777" max="1809" width="9.140625" style="289"/>
    <col min="1810" max="2022" width="11.42578125" style="289" customWidth="1"/>
    <col min="2023" max="2023" width="25.28515625" style="289" customWidth="1"/>
    <col min="2024" max="2025" width="7" style="289" bestFit="1" customWidth="1"/>
    <col min="2026" max="2026" width="7.42578125" style="289" bestFit="1" customWidth="1"/>
    <col min="2027" max="2032" width="7.28515625" style="289" bestFit="1" customWidth="1"/>
    <col min="2033" max="2065" width="9.140625" style="289"/>
    <col min="2066" max="2278" width="11.42578125" style="289" customWidth="1"/>
    <col min="2279" max="2279" width="25.28515625" style="289" customWidth="1"/>
    <col min="2280" max="2281" width="7" style="289" bestFit="1" customWidth="1"/>
    <col min="2282" max="2282" width="7.42578125" style="289" bestFit="1" customWidth="1"/>
    <col min="2283" max="2288" width="7.28515625" style="289" bestFit="1" customWidth="1"/>
    <col min="2289" max="2321" width="9.140625" style="289"/>
    <col min="2322" max="2534" width="11.42578125" style="289" customWidth="1"/>
    <col min="2535" max="2535" width="25.28515625" style="289" customWidth="1"/>
    <col min="2536" max="2537" width="7" style="289" bestFit="1" customWidth="1"/>
    <col min="2538" max="2538" width="7.42578125" style="289" bestFit="1" customWidth="1"/>
    <col min="2539" max="2544" width="7.28515625" style="289" bestFit="1" customWidth="1"/>
    <col min="2545" max="2577" width="9.140625" style="289"/>
    <col min="2578" max="2790" width="11.42578125" style="289" customWidth="1"/>
    <col min="2791" max="2791" width="25.28515625" style="289" customWidth="1"/>
    <col min="2792" max="2793" width="7" style="289" bestFit="1" customWidth="1"/>
    <col min="2794" max="2794" width="7.42578125" style="289" bestFit="1" customWidth="1"/>
    <col min="2795" max="2800" width="7.28515625" style="289" bestFit="1" customWidth="1"/>
    <col min="2801" max="2833" width="9.140625" style="289"/>
    <col min="2834" max="3046" width="11.42578125" style="289" customWidth="1"/>
    <col min="3047" max="3047" width="25.28515625" style="289" customWidth="1"/>
    <col min="3048" max="3049" width="7" style="289" bestFit="1" customWidth="1"/>
    <col min="3050" max="3050" width="7.42578125" style="289" bestFit="1" customWidth="1"/>
    <col min="3051" max="3056" width="7.28515625" style="289" bestFit="1" customWidth="1"/>
    <col min="3057" max="3089" width="9.140625" style="289"/>
    <col min="3090" max="3302" width="11.42578125" style="289" customWidth="1"/>
    <col min="3303" max="3303" width="25.28515625" style="289" customWidth="1"/>
    <col min="3304" max="3305" width="7" style="289" bestFit="1" customWidth="1"/>
    <col min="3306" max="3306" width="7.42578125" style="289" bestFit="1" customWidth="1"/>
    <col min="3307" max="3312" width="7.28515625" style="289" bestFit="1" customWidth="1"/>
    <col min="3313" max="3345" width="9.140625" style="289"/>
    <col min="3346" max="3558" width="11.42578125" style="289" customWidth="1"/>
    <col min="3559" max="3559" width="25.28515625" style="289" customWidth="1"/>
    <col min="3560" max="3561" width="7" style="289" bestFit="1" customWidth="1"/>
    <col min="3562" max="3562" width="7.42578125" style="289" bestFit="1" customWidth="1"/>
    <col min="3563" max="3568" width="7.28515625" style="289" bestFit="1" customWidth="1"/>
    <col min="3569" max="3601" width="9.140625" style="289"/>
    <col min="3602" max="3814" width="11.42578125" style="289" customWidth="1"/>
    <col min="3815" max="3815" width="25.28515625" style="289" customWidth="1"/>
    <col min="3816" max="3817" width="7" style="289" bestFit="1" customWidth="1"/>
    <col min="3818" max="3818" width="7.42578125" style="289" bestFit="1" customWidth="1"/>
    <col min="3819" max="3824" width="7.28515625" style="289" bestFit="1" customWidth="1"/>
    <col min="3825" max="3857" width="9.140625" style="289"/>
    <col min="3858" max="4070" width="11.42578125" style="289" customWidth="1"/>
    <col min="4071" max="4071" width="25.28515625" style="289" customWidth="1"/>
    <col min="4072" max="4073" width="7" style="289" bestFit="1" customWidth="1"/>
    <col min="4074" max="4074" width="7.42578125" style="289" bestFit="1" customWidth="1"/>
    <col min="4075" max="4080" width="7.28515625" style="289" bestFit="1" customWidth="1"/>
    <col min="4081" max="4113" width="9.140625" style="289"/>
    <col min="4114" max="4326" width="11.42578125" style="289" customWidth="1"/>
    <col min="4327" max="4327" width="25.28515625" style="289" customWidth="1"/>
    <col min="4328" max="4329" width="7" style="289" bestFit="1" customWidth="1"/>
    <col min="4330" max="4330" width="7.42578125" style="289" bestFit="1" customWidth="1"/>
    <col min="4331" max="4336" width="7.28515625" style="289" bestFit="1" customWidth="1"/>
    <col min="4337" max="4369" width="9.140625" style="289"/>
    <col min="4370" max="4582" width="11.42578125" style="289" customWidth="1"/>
    <col min="4583" max="4583" width="25.28515625" style="289" customWidth="1"/>
    <col min="4584" max="4585" width="7" style="289" bestFit="1" customWidth="1"/>
    <col min="4586" max="4586" width="7.42578125" style="289" bestFit="1" customWidth="1"/>
    <col min="4587" max="4592" width="7.28515625" style="289" bestFit="1" customWidth="1"/>
    <col min="4593" max="4625" width="9.140625" style="289"/>
    <col min="4626" max="4838" width="11.42578125" style="289" customWidth="1"/>
    <col min="4839" max="4839" width="25.28515625" style="289" customWidth="1"/>
    <col min="4840" max="4841" width="7" style="289" bestFit="1" customWidth="1"/>
    <col min="4842" max="4842" width="7.42578125" style="289" bestFit="1" customWidth="1"/>
    <col min="4843" max="4848" width="7.28515625" style="289" bestFit="1" customWidth="1"/>
    <col min="4849" max="4881" width="9.140625" style="289"/>
    <col min="4882" max="5094" width="11.42578125" style="289" customWidth="1"/>
    <col min="5095" max="5095" width="25.28515625" style="289" customWidth="1"/>
    <col min="5096" max="5097" width="7" style="289" bestFit="1" customWidth="1"/>
    <col min="5098" max="5098" width="7.42578125" style="289" bestFit="1" customWidth="1"/>
    <col min="5099" max="5104" width="7.28515625" style="289" bestFit="1" customWidth="1"/>
    <col min="5105" max="5137" width="9.140625" style="289"/>
    <col min="5138" max="5350" width="11.42578125" style="289" customWidth="1"/>
    <col min="5351" max="5351" width="25.28515625" style="289" customWidth="1"/>
    <col min="5352" max="5353" width="7" style="289" bestFit="1" customWidth="1"/>
    <col min="5354" max="5354" width="7.42578125" style="289" bestFit="1" customWidth="1"/>
    <col min="5355" max="5360" width="7.28515625" style="289" bestFit="1" customWidth="1"/>
    <col min="5361" max="5393" width="9.140625" style="289"/>
    <col min="5394" max="5606" width="11.42578125" style="289" customWidth="1"/>
    <col min="5607" max="5607" width="25.28515625" style="289" customWidth="1"/>
    <col min="5608" max="5609" width="7" style="289" bestFit="1" customWidth="1"/>
    <col min="5610" max="5610" width="7.42578125" style="289" bestFit="1" customWidth="1"/>
    <col min="5611" max="5616" width="7.28515625" style="289" bestFit="1" customWidth="1"/>
    <col min="5617" max="5649" width="9.140625" style="289"/>
    <col min="5650" max="5862" width="11.42578125" style="289" customWidth="1"/>
    <col min="5863" max="5863" width="25.28515625" style="289" customWidth="1"/>
    <col min="5864" max="5865" width="7" style="289" bestFit="1" customWidth="1"/>
    <col min="5866" max="5866" width="7.42578125" style="289" bestFit="1" customWidth="1"/>
    <col min="5867" max="5872" width="7.28515625" style="289" bestFit="1" customWidth="1"/>
    <col min="5873" max="5905" width="9.140625" style="289"/>
    <col min="5906" max="6118" width="11.42578125" style="289" customWidth="1"/>
    <col min="6119" max="6119" width="25.28515625" style="289" customWidth="1"/>
    <col min="6120" max="6121" width="7" style="289" bestFit="1" customWidth="1"/>
    <col min="6122" max="6122" width="7.42578125" style="289" bestFit="1" customWidth="1"/>
    <col min="6123" max="6128" width="7.28515625" style="289" bestFit="1" customWidth="1"/>
    <col min="6129" max="6161" width="9.140625" style="289"/>
    <col min="6162" max="6374" width="11.42578125" style="289" customWidth="1"/>
    <col min="6375" max="6375" width="25.28515625" style="289" customWidth="1"/>
    <col min="6376" max="6377" width="7" style="289" bestFit="1" customWidth="1"/>
    <col min="6378" max="6378" width="7.42578125" style="289" bestFit="1" customWidth="1"/>
    <col min="6379" max="6384" width="7.28515625" style="289" bestFit="1" customWidth="1"/>
    <col min="6385" max="6417" width="9.140625" style="289"/>
    <col min="6418" max="6630" width="11.42578125" style="289" customWidth="1"/>
    <col min="6631" max="6631" width="25.28515625" style="289" customWidth="1"/>
    <col min="6632" max="6633" width="7" style="289" bestFit="1" customWidth="1"/>
    <col min="6634" max="6634" width="7.42578125" style="289" bestFit="1" customWidth="1"/>
    <col min="6635" max="6640" width="7.28515625" style="289" bestFit="1" customWidth="1"/>
    <col min="6641" max="6673" width="9.140625" style="289"/>
    <col min="6674" max="6886" width="11.42578125" style="289" customWidth="1"/>
    <col min="6887" max="6887" width="25.28515625" style="289" customWidth="1"/>
    <col min="6888" max="6889" width="7" style="289" bestFit="1" customWidth="1"/>
    <col min="6890" max="6890" width="7.42578125" style="289" bestFit="1" customWidth="1"/>
    <col min="6891" max="6896" width="7.28515625" style="289" bestFit="1" customWidth="1"/>
    <col min="6897" max="6929" width="9.140625" style="289"/>
    <col min="6930" max="7142" width="11.42578125" style="289" customWidth="1"/>
    <col min="7143" max="7143" width="25.28515625" style="289" customWidth="1"/>
    <col min="7144" max="7145" width="7" style="289" bestFit="1" customWidth="1"/>
    <col min="7146" max="7146" width="7.42578125" style="289" bestFit="1" customWidth="1"/>
    <col min="7147" max="7152" width="7.28515625" style="289" bestFit="1" customWidth="1"/>
    <col min="7153" max="7185" width="9.140625" style="289"/>
    <col min="7186" max="7398" width="11.42578125" style="289" customWidth="1"/>
    <col min="7399" max="7399" width="25.28515625" style="289" customWidth="1"/>
    <col min="7400" max="7401" width="7" style="289" bestFit="1" customWidth="1"/>
    <col min="7402" max="7402" width="7.42578125" style="289" bestFit="1" customWidth="1"/>
    <col min="7403" max="7408" width="7.28515625" style="289" bestFit="1" customWidth="1"/>
    <col min="7409" max="7441" width="9.140625" style="289"/>
    <col min="7442" max="7654" width="11.42578125" style="289" customWidth="1"/>
    <col min="7655" max="7655" width="25.28515625" style="289" customWidth="1"/>
    <col min="7656" max="7657" width="7" style="289" bestFit="1" customWidth="1"/>
    <col min="7658" max="7658" width="7.42578125" style="289" bestFit="1" customWidth="1"/>
    <col min="7659" max="7664" width="7.28515625" style="289" bestFit="1" customWidth="1"/>
    <col min="7665" max="7697" width="9.140625" style="289"/>
    <col min="7698" max="7910" width="11.42578125" style="289" customWidth="1"/>
    <col min="7911" max="7911" width="25.28515625" style="289" customWidth="1"/>
    <col min="7912" max="7913" width="7" style="289" bestFit="1" customWidth="1"/>
    <col min="7914" max="7914" width="7.42578125" style="289" bestFit="1" customWidth="1"/>
    <col min="7915" max="7920" width="7.28515625" style="289" bestFit="1" customWidth="1"/>
    <col min="7921" max="7953" width="9.140625" style="289"/>
    <col min="7954" max="8166" width="11.42578125" style="289" customWidth="1"/>
    <col min="8167" max="8167" width="25.28515625" style="289" customWidth="1"/>
    <col min="8168" max="8169" width="7" style="289" bestFit="1" customWidth="1"/>
    <col min="8170" max="8170" width="7.42578125" style="289" bestFit="1" customWidth="1"/>
    <col min="8171" max="8176" width="7.28515625" style="289" bestFit="1" customWidth="1"/>
    <col min="8177" max="8209" width="9.140625" style="289"/>
    <col min="8210" max="8422" width="11.42578125" style="289" customWidth="1"/>
    <col min="8423" max="8423" width="25.28515625" style="289" customWidth="1"/>
    <col min="8424" max="8425" width="7" style="289" bestFit="1" customWidth="1"/>
    <col min="8426" max="8426" width="7.42578125" style="289" bestFit="1" customWidth="1"/>
    <col min="8427" max="8432" width="7.28515625" style="289" bestFit="1" customWidth="1"/>
    <col min="8433" max="8465" width="9.140625" style="289"/>
    <col min="8466" max="8678" width="11.42578125" style="289" customWidth="1"/>
    <col min="8679" max="8679" width="25.28515625" style="289" customWidth="1"/>
    <col min="8680" max="8681" width="7" style="289" bestFit="1" customWidth="1"/>
    <col min="8682" max="8682" width="7.42578125" style="289" bestFit="1" customWidth="1"/>
    <col min="8683" max="8688" width="7.28515625" style="289" bestFit="1" customWidth="1"/>
    <col min="8689" max="8721" width="9.140625" style="289"/>
    <col min="8722" max="8934" width="11.42578125" style="289" customWidth="1"/>
    <col min="8935" max="8935" width="25.28515625" style="289" customWidth="1"/>
    <col min="8936" max="8937" width="7" style="289" bestFit="1" customWidth="1"/>
    <col min="8938" max="8938" width="7.42578125" style="289" bestFit="1" customWidth="1"/>
    <col min="8939" max="8944" width="7.28515625" style="289" bestFit="1" customWidth="1"/>
    <col min="8945" max="8977" width="9.140625" style="289"/>
    <col min="8978" max="9190" width="11.42578125" style="289" customWidth="1"/>
    <col min="9191" max="9191" width="25.28515625" style="289" customWidth="1"/>
    <col min="9192" max="9193" width="7" style="289" bestFit="1" customWidth="1"/>
    <col min="9194" max="9194" width="7.42578125" style="289" bestFit="1" customWidth="1"/>
    <col min="9195" max="9200" width="7.28515625" style="289" bestFit="1" customWidth="1"/>
    <col min="9201" max="9233" width="9.140625" style="289"/>
    <col min="9234" max="9446" width="11.42578125" style="289" customWidth="1"/>
    <col min="9447" max="9447" width="25.28515625" style="289" customWidth="1"/>
    <col min="9448" max="9449" width="7" style="289" bestFit="1" customWidth="1"/>
    <col min="9450" max="9450" width="7.42578125" style="289" bestFit="1" customWidth="1"/>
    <col min="9451" max="9456" width="7.28515625" style="289" bestFit="1" customWidth="1"/>
    <col min="9457" max="9489" width="9.140625" style="289"/>
    <col min="9490" max="9702" width="11.42578125" style="289" customWidth="1"/>
    <col min="9703" max="9703" width="25.28515625" style="289" customWidth="1"/>
    <col min="9704" max="9705" width="7" style="289" bestFit="1" customWidth="1"/>
    <col min="9706" max="9706" width="7.42578125" style="289" bestFit="1" customWidth="1"/>
    <col min="9707" max="9712" width="7.28515625" style="289" bestFit="1" customWidth="1"/>
    <col min="9713" max="9745" width="9.140625" style="289"/>
    <col min="9746" max="9958" width="11.42578125" style="289" customWidth="1"/>
    <col min="9959" max="9959" width="25.28515625" style="289" customWidth="1"/>
    <col min="9960" max="9961" width="7" style="289" bestFit="1" customWidth="1"/>
    <col min="9962" max="9962" width="7.42578125" style="289" bestFit="1" customWidth="1"/>
    <col min="9963" max="9968" width="7.28515625" style="289" bestFit="1" customWidth="1"/>
    <col min="9969" max="10001" width="9.140625" style="289"/>
    <col min="10002" max="10214" width="11.42578125" style="289" customWidth="1"/>
    <col min="10215" max="10215" width="25.28515625" style="289" customWidth="1"/>
    <col min="10216" max="10217" width="7" style="289" bestFit="1" customWidth="1"/>
    <col min="10218" max="10218" width="7.42578125" style="289" bestFit="1" customWidth="1"/>
    <col min="10219" max="10224" width="7.28515625" style="289" bestFit="1" customWidth="1"/>
    <col min="10225" max="10257" width="9.140625" style="289"/>
    <col min="10258" max="10470" width="11.42578125" style="289" customWidth="1"/>
    <col min="10471" max="10471" width="25.28515625" style="289" customWidth="1"/>
    <col min="10472" max="10473" width="7" style="289" bestFit="1" customWidth="1"/>
    <col min="10474" max="10474" width="7.42578125" style="289" bestFit="1" customWidth="1"/>
    <col min="10475" max="10480" width="7.28515625" style="289" bestFit="1" customWidth="1"/>
    <col min="10481" max="10513" width="9.140625" style="289"/>
    <col min="10514" max="10726" width="11.42578125" style="289" customWidth="1"/>
    <col min="10727" max="10727" width="25.28515625" style="289" customWidth="1"/>
    <col min="10728" max="10729" width="7" style="289" bestFit="1" customWidth="1"/>
    <col min="10730" max="10730" width="7.42578125" style="289" bestFit="1" customWidth="1"/>
    <col min="10731" max="10736" width="7.28515625" style="289" bestFit="1" customWidth="1"/>
    <col min="10737" max="10769" width="9.140625" style="289"/>
    <col min="10770" max="10982" width="11.42578125" style="289" customWidth="1"/>
    <col min="10983" max="10983" width="25.28515625" style="289" customWidth="1"/>
    <col min="10984" max="10985" width="7" style="289" bestFit="1" customWidth="1"/>
    <col min="10986" max="10986" width="7.42578125" style="289" bestFit="1" customWidth="1"/>
    <col min="10987" max="10992" width="7.28515625" style="289" bestFit="1" customWidth="1"/>
    <col min="10993" max="11025" width="9.140625" style="289"/>
    <col min="11026" max="11238" width="11.42578125" style="289" customWidth="1"/>
    <col min="11239" max="11239" width="25.28515625" style="289" customWidth="1"/>
    <col min="11240" max="11241" width="7" style="289" bestFit="1" customWidth="1"/>
    <col min="11242" max="11242" width="7.42578125" style="289" bestFit="1" customWidth="1"/>
    <col min="11243" max="11248" width="7.28515625" style="289" bestFit="1" customWidth="1"/>
    <col min="11249" max="11281" width="9.140625" style="289"/>
    <col min="11282" max="11494" width="11.42578125" style="289" customWidth="1"/>
    <col min="11495" max="11495" width="25.28515625" style="289" customWidth="1"/>
    <col min="11496" max="11497" width="7" style="289" bestFit="1" customWidth="1"/>
    <col min="11498" max="11498" width="7.42578125" style="289" bestFit="1" customWidth="1"/>
    <col min="11499" max="11504" width="7.28515625" style="289" bestFit="1" customWidth="1"/>
    <col min="11505" max="11537" width="9.140625" style="289"/>
    <col min="11538" max="11750" width="11.42578125" style="289" customWidth="1"/>
    <col min="11751" max="11751" width="25.28515625" style="289" customWidth="1"/>
    <col min="11752" max="11753" width="7" style="289" bestFit="1" customWidth="1"/>
    <col min="11754" max="11754" width="7.42578125" style="289" bestFit="1" customWidth="1"/>
    <col min="11755" max="11760" width="7.28515625" style="289" bestFit="1" customWidth="1"/>
    <col min="11761" max="11793" width="9.140625" style="289"/>
    <col min="11794" max="12006" width="11.42578125" style="289" customWidth="1"/>
    <col min="12007" max="12007" width="25.28515625" style="289" customWidth="1"/>
    <col min="12008" max="12009" width="7" style="289" bestFit="1" customWidth="1"/>
    <col min="12010" max="12010" width="7.42578125" style="289" bestFit="1" customWidth="1"/>
    <col min="12011" max="12016" width="7.28515625" style="289" bestFit="1" customWidth="1"/>
    <col min="12017" max="12049" width="9.140625" style="289"/>
    <col min="12050" max="12262" width="11.42578125" style="289" customWidth="1"/>
    <col min="12263" max="12263" width="25.28515625" style="289" customWidth="1"/>
    <col min="12264" max="12265" width="7" style="289" bestFit="1" customWidth="1"/>
    <col min="12266" max="12266" width="7.42578125" style="289" bestFit="1" customWidth="1"/>
    <col min="12267" max="12272" width="7.28515625" style="289" bestFit="1" customWidth="1"/>
    <col min="12273" max="12305" width="9.140625" style="289"/>
    <col min="12306" max="12518" width="11.42578125" style="289" customWidth="1"/>
    <col min="12519" max="12519" width="25.28515625" style="289" customWidth="1"/>
    <col min="12520" max="12521" width="7" style="289" bestFit="1" customWidth="1"/>
    <col min="12522" max="12522" width="7.42578125" style="289" bestFit="1" customWidth="1"/>
    <col min="12523" max="12528" width="7.28515625" style="289" bestFit="1" customWidth="1"/>
    <col min="12529" max="12561" width="9.140625" style="289"/>
    <col min="12562" max="12774" width="11.42578125" style="289" customWidth="1"/>
    <col min="12775" max="12775" width="25.28515625" style="289" customWidth="1"/>
    <col min="12776" max="12777" width="7" style="289" bestFit="1" customWidth="1"/>
    <col min="12778" max="12778" width="7.42578125" style="289" bestFit="1" customWidth="1"/>
    <col min="12779" max="12784" width="7.28515625" style="289" bestFit="1" customWidth="1"/>
    <col min="12785" max="12817" width="9.140625" style="289"/>
    <col min="12818" max="13030" width="11.42578125" style="289" customWidth="1"/>
    <col min="13031" max="13031" width="25.28515625" style="289" customWidth="1"/>
    <col min="13032" max="13033" width="7" style="289" bestFit="1" customWidth="1"/>
    <col min="13034" max="13034" width="7.42578125" style="289" bestFit="1" customWidth="1"/>
    <col min="13035" max="13040" width="7.28515625" style="289" bestFit="1" customWidth="1"/>
    <col min="13041" max="13073" width="9.140625" style="289"/>
    <col min="13074" max="13286" width="11.42578125" style="289" customWidth="1"/>
    <col min="13287" max="13287" width="25.28515625" style="289" customWidth="1"/>
    <col min="13288" max="13289" width="7" style="289" bestFit="1" customWidth="1"/>
    <col min="13290" max="13290" width="7.42578125" style="289" bestFit="1" customWidth="1"/>
    <col min="13291" max="13296" width="7.28515625" style="289" bestFit="1" customWidth="1"/>
    <col min="13297" max="13329" width="9.140625" style="289"/>
    <col min="13330" max="13542" width="11.42578125" style="289" customWidth="1"/>
    <col min="13543" max="13543" width="25.28515625" style="289" customWidth="1"/>
    <col min="13544" max="13545" width="7" style="289" bestFit="1" customWidth="1"/>
    <col min="13546" max="13546" width="7.42578125" style="289" bestFit="1" customWidth="1"/>
    <col min="13547" max="13552" width="7.28515625" style="289" bestFit="1" customWidth="1"/>
    <col min="13553" max="13585" width="9.140625" style="289"/>
    <col min="13586" max="13798" width="11.42578125" style="289" customWidth="1"/>
    <col min="13799" max="13799" width="25.28515625" style="289" customWidth="1"/>
    <col min="13800" max="13801" width="7" style="289" bestFit="1" customWidth="1"/>
    <col min="13802" max="13802" width="7.42578125" style="289" bestFit="1" customWidth="1"/>
    <col min="13803" max="13808" width="7.28515625" style="289" bestFit="1" customWidth="1"/>
    <col min="13809" max="13841" width="9.140625" style="289"/>
    <col min="13842" max="14054" width="11.42578125" style="289" customWidth="1"/>
    <col min="14055" max="14055" width="25.28515625" style="289" customWidth="1"/>
    <col min="14056" max="14057" width="7" style="289" bestFit="1" customWidth="1"/>
    <col min="14058" max="14058" width="7.42578125" style="289" bestFit="1" customWidth="1"/>
    <col min="14059" max="14064" width="7.28515625" style="289" bestFit="1" customWidth="1"/>
    <col min="14065" max="14097" width="9.140625" style="289"/>
    <col min="14098" max="14310" width="11.42578125" style="289" customWidth="1"/>
    <col min="14311" max="14311" width="25.28515625" style="289" customWidth="1"/>
    <col min="14312" max="14313" width="7" style="289" bestFit="1" customWidth="1"/>
    <col min="14314" max="14314" width="7.42578125" style="289" bestFit="1" customWidth="1"/>
    <col min="14315" max="14320" width="7.28515625" style="289" bestFit="1" customWidth="1"/>
    <col min="14321" max="14353" width="9.140625" style="289"/>
    <col min="14354" max="14566" width="11.42578125" style="289" customWidth="1"/>
    <col min="14567" max="14567" width="25.28515625" style="289" customWidth="1"/>
    <col min="14568" max="14569" width="7" style="289" bestFit="1" customWidth="1"/>
    <col min="14570" max="14570" width="7.42578125" style="289" bestFit="1" customWidth="1"/>
    <col min="14571" max="14576" width="7.28515625" style="289" bestFit="1" customWidth="1"/>
    <col min="14577" max="14609" width="9.140625" style="289"/>
    <col min="14610" max="14822" width="11.42578125" style="289" customWidth="1"/>
    <col min="14823" max="14823" width="25.28515625" style="289" customWidth="1"/>
    <col min="14824" max="14825" width="7" style="289" bestFit="1" customWidth="1"/>
    <col min="14826" max="14826" width="7.42578125" style="289" bestFit="1" customWidth="1"/>
    <col min="14827" max="14832" width="7.28515625" style="289" bestFit="1" customWidth="1"/>
    <col min="14833" max="14865" width="9.140625" style="289"/>
    <col min="14866" max="15078" width="11.42578125" style="289" customWidth="1"/>
    <col min="15079" max="15079" width="25.28515625" style="289" customWidth="1"/>
    <col min="15080" max="15081" width="7" style="289" bestFit="1" customWidth="1"/>
    <col min="15082" max="15082" width="7.42578125" style="289" bestFit="1" customWidth="1"/>
    <col min="15083" max="15088" width="7.28515625" style="289" bestFit="1" customWidth="1"/>
    <col min="15089" max="15121" width="9.140625" style="289"/>
    <col min="15122" max="15334" width="11.42578125" style="289" customWidth="1"/>
    <col min="15335" max="15335" width="25.28515625" style="289" customWidth="1"/>
    <col min="15336" max="15337" width="7" style="289" bestFit="1" customWidth="1"/>
    <col min="15338" max="15338" width="7.42578125" style="289" bestFit="1" customWidth="1"/>
    <col min="15339" max="15344" width="7.28515625" style="289" bestFit="1" customWidth="1"/>
    <col min="15345" max="15377" width="9.140625" style="289"/>
    <col min="15378" max="15590" width="11.42578125" style="289" customWidth="1"/>
    <col min="15591" max="15591" width="25.28515625" style="289" customWidth="1"/>
    <col min="15592" max="15593" width="7" style="289" bestFit="1" customWidth="1"/>
    <col min="15594" max="15594" width="7.42578125" style="289" bestFit="1" customWidth="1"/>
    <col min="15595" max="15600" width="7.28515625" style="289" bestFit="1" customWidth="1"/>
    <col min="15601" max="15633" width="9.140625" style="289"/>
    <col min="15634" max="15846" width="11.42578125" style="289" customWidth="1"/>
    <col min="15847" max="15847" width="25.28515625" style="289" customWidth="1"/>
    <col min="15848" max="15849" width="7" style="289" bestFit="1" customWidth="1"/>
    <col min="15850" max="15850" width="7.42578125" style="289" bestFit="1" customWidth="1"/>
    <col min="15851" max="15856" width="7.28515625" style="289" bestFit="1" customWidth="1"/>
    <col min="15857" max="15889" width="9.140625" style="289"/>
    <col min="15890" max="16102" width="11.42578125" style="289" customWidth="1"/>
    <col min="16103" max="16103" width="25.28515625" style="289" customWidth="1"/>
    <col min="16104" max="16105" width="7" style="289" bestFit="1" customWidth="1"/>
    <col min="16106" max="16106" width="7.42578125" style="289" bestFit="1" customWidth="1"/>
    <col min="16107" max="16112" width="7.28515625" style="289" bestFit="1" customWidth="1"/>
    <col min="16113" max="16145" width="9.140625" style="289"/>
    <col min="16146" max="16384" width="11.42578125" style="289" customWidth="1"/>
  </cols>
  <sheetData>
    <row r="1" spans="1:10" ht="11.45" customHeight="1" x14ac:dyDescent="0.25">
      <c r="A1" s="289"/>
    </row>
    <row r="2" spans="1:10" ht="17.100000000000001" customHeight="1" x14ac:dyDescent="0.25">
      <c r="A2" s="885"/>
      <c r="B2" s="289"/>
      <c r="C2" s="289"/>
      <c r="D2" s="289"/>
      <c r="E2" s="289"/>
      <c r="F2" s="289"/>
      <c r="G2" s="289"/>
      <c r="H2" s="289"/>
      <c r="I2" s="289"/>
      <c r="J2" s="289"/>
    </row>
    <row r="3" spans="1:10" ht="17.100000000000001" customHeight="1" x14ac:dyDescent="0.25">
      <c r="A3" s="885" t="s">
        <v>861</v>
      </c>
      <c r="B3" s="584">
        <v>2009</v>
      </c>
      <c r="C3" s="584">
        <v>2008</v>
      </c>
      <c r="D3" s="584">
        <v>2007</v>
      </c>
      <c r="E3" s="584">
        <v>2006</v>
      </c>
      <c r="F3" s="584">
        <v>2005</v>
      </c>
      <c r="G3" s="584">
        <v>2004</v>
      </c>
      <c r="H3" s="584">
        <v>2003</v>
      </c>
      <c r="I3" s="584">
        <v>2002</v>
      </c>
      <c r="J3" s="584">
        <v>2001</v>
      </c>
    </row>
    <row r="4" spans="1:10" ht="17.100000000000001" customHeight="1" thickBot="1" x14ac:dyDescent="0.3">
      <c r="A4" s="885" t="s">
        <v>386</v>
      </c>
      <c r="B4" s="886" t="s">
        <v>862</v>
      </c>
      <c r="C4" s="886" t="s">
        <v>862</v>
      </c>
      <c r="D4" s="886" t="s">
        <v>862</v>
      </c>
      <c r="E4" s="886" t="s">
        <v>862</v>
      </c>
      <c r="F4" s="886" t="s">
        <v>862</v>
      </c>
      <c r="G4" s="886" t="s">
        <v>862</v>
      </c>
      <c r="H4" s="886" t="s">
        <v>862</v>
      </c>
      <c r="I4" s="886" t="s">
        <v>862</v>
      </c>
      <c r="J4" s="886" t="s">
        <v>862</v>
      </c>
    </row>
    <row r="5" spans="1:10" ht="17.100000000000001" customHeight="1" x14ac:dyDescent="0.25">
      <c r="A5" s="887" t="s">
        <v>388</v>
      </c>
      <c r="B5" s="888">
        <v>257.27999999999997</v>
      </c>
      <c r="C5" s="888">
        <v>309.983</v>
      </c>
      <c r="D5" s="888">
        <v>228.916</v>
      </c>
      <c r="E5" s="888">
        <v>304.22300000000001</v>
      </c>
      <c r="F5" s="888">
        <v>397.17700000000002</v>
      </c>
      <c r="G5" s="888">
        <v>361.077</v>
      </c>
      <c r="H5" s="888">
        <v>500.30399999999997</v>
      </c>
      <c r="I5" s="888">
        <v>290.38900000000001</v>
      </c>
      <c r="J5" s="889">
        <v>351.60199999999998</v>
      </c>
    </row>
    <row r="6" spans="1:10" ht="17.100000000000001" customHeight="1" x14ac:dyDescent="0.25">
      <c r="A6" s="890" t="s">
        <v>389</v>
      </c>
      <c r="B6" s="891">
        <v>28.673999999999999</v>
      </c>
      <c r="C6" s="891">
        <v>28.510999999999999</v>
      </c>
      <c r="D6" s="891">
        <v>28</v>
      </c>
      <c r="E6" s="891">
        <v>56.768999999999998</v>
      </c>
      <c r="F6" s="891">
        <v>97.757999999999996</v>
      </c>
      <c r="G6" s="891">
        <v>138.1</v>
      </c>
      <c r="H6" s="891">
        <v>151.44800000000001</v>
      </c>
      <c r="I6" s="891">
        <v>21.026</v>
      </c>
      <c r="J6" s="892">
        <v>26.254000000000001</v>
      </c>
    </row>
    <row r="7" spans="1:10" ht="17.100000000000001" customHeight="1" x14ac:dyDescent="0.25">
      <c r="A7" s="890" t="s">
        <v>53</v>
      </c>
      <c r="B7" s="891">
        <v>104.65300000000001</v>
      </c>
      <c r="C7" s="891">
        <v>158.02000000000001</v>
      </c>
      <c r="D7" s="891">
        <v>200.715</v>
      </c>
      <c r="E7" s="891">
        <v>247.25399999999999</v>
      </c>
      <c r="F7" s="891">
        <v>287.21899999999999</v>
      </c>
      <c r="G7" s="891">
        <v>210.77699999999999</v>
      </c>
      <c r="H7" s="891">
        <v>336.65600000000001</v>
      </c>
      <c r="I7" s="891">
        <v>257.16300000000001</v>
      </c>
      <c r="J7" s="892">
        <v>313.36500000000001</v>
      </c>
    </row>
    <row r="8" spans="1:10" ht="17.100000000000001" customHeight="1" x14ac:dyDescent="0.25">
      <c r="A8" s="890" t="s">
        <v>863</v>
      </c>
      <c r="B8" s="891">
        <v>123.953</v>
      </c>
      <c r="C8" s="891">
        <v>123.453</v>
      </c>
      <c r="D8" s="893">
        <v>0.2</v>
      </c>
      <c r="E8" s="893">
        <v>0.2</v>
      </c>
      <c r="F8" s="891">
        <v>12.2</v>
      </c>
      <c r="G8" s="891">
        <v>12.2</v>
      </c>
      <c r="H8" s="891">
        <v>12.2</v>
      </c>
      <c r="I8" s="891">
        <v>12.2</v>
      </c>
      <c r="J8" s="892">
        <v>11.983000000000001</v>
      </c>
    </row>
    <row r="9" spans="1:10" ht="17.100000000000001" customHeight="1" x14ac:dyDescent="0.25">
      <c r="A9" s="681" t="s">
        <v>391</v>
      </c>
      <c r="B9" s="894">
        <v>2242.0369999999998</v>
      </c>
      <c r="C9" s="894">
        <v>2977.944</v>
      </c>
      <c r="D9" s="894">
        <v>2949.0929999999998</v>
      </c>
      <c r="E9" s="894">
        <v>2843.9189999999999</v>
      </c>
      <c r="F9" s="894">
        <v>2607.2289999999998</v>
      </c>
      <c r="G9" s="894">
        <v>2415.4009999999998</v>
      </c>
      <c r="H9" s="894">
        <v>2359.3649999999998</v>
      </c>
      <c r="I9" s="894">
        <v>2402.3069999999998</v>
      </c>
      <c r="J9" s="895">
        <v>1765.3320000000001</v>
      </c>
    </row>
    <row r="10" spans="1:10" ht="17.100000000000001" customHeight="1" x14ac:dyDescent="0.25">
      <c r="A10" s="890" t="s">
        <v>392</v>
      </c>
      <c r="B10" s="891">
        <v>2114.5</v>
      </c>
      <c r="C10" s="891">
        <v>2477.91</v>
      </c>
      <c r="D10" s="891">
        <v>2686.9090000000001</v>
      </c>
      <c r="E10" s="891">
        <v>2511.7510000000002</v>
      </c>
      <c r="F10" s="891">
        <v>2127.8919999999998</v>
      </c>
      <c r="G10" s="891">
        <v>2096.2510000000002</v>
      </c>
      <c r="H10" s="891">
        <v>1930.346</v>
      </c>
      <c r="I10" s="891">
        <v>1790.701</v>
      </c>
      <c r="J10" s="892">
        <v>1328.3910000000001</v>
      </c>
    </row>
    <row r="11" spans="1:10" ht="17.100000000000001" customHeight="1" x14ac:dyDescent="0.25">
      <c r="A11" s="890" t="s">
        <v>393</v>
      </c>
      <c r="B11" s="891">
        <v>102.23699999999999</v>
      </c>
      <c r="C11" s="891">
        <v>361.27</v>
      </c>
      <c r="D11" s="891">
        <v>202.25899999999999</v>
      </c>
      <c r="E11" s="891">
        <v>268.88799999999998</v>
      </c>
      <c r="F11" s="891">
        <v>477.233</v>
      </c>
      <c r="G11" s="891">
        <v>293.69</v>
      </c>
      <c r="H11" s="891">
        <v>148.88499999999999</v>
      </c>
      <c r="I11" s="891">
        <v>237.85300000000001</v>
      </c>
      <c r="J11" s="892">
        <v>94.971000000000004</v>
      </c>
    </row>
    <row r="12" spans="1:10" ht="17.100000000000001" customHeight="1" x14ac:dyDescent="0.25">
      <c r="A12" s="890" t="s">
        <v>864</v>
      </c>
      <c r="B12" s="891">
        <v>25.300999999999998</v>
      </c>
      <c r="C12" s="891">
        <v>138.76400000000001</v>
      </c>
      <c r="D12" s="891">
        <v>59.926000000000002</v>
      </c>
      <c r="E12" s="891">
        <v>63.28</v>
      </c>
      <c r="F12" s="891">
        <v>2.1040000000000001</v>
      </c>
      <c r="G12" s="891">
        <v>25.46</v>
      </c>
      <c r="H12" s="891">
        <v>280.13400000000001</v>
      </c>
      <c r="I12" s="891">
        <v>373.75299999999999</v>
      </c>
      <c r="J12" s="892">
        <v>341.97</v>
      </c>
    </row>
    <row r="13" spans="1:10" ht="17.100000000000001" customHeight="1" x14ac:dyDescent="0.25">
      <c r="A13" s="890" t="s">
        <v>394</v>
      </c>
      <c r="B13" s="891">
        <v>23.076000000000001</v>
      </c>
      <c r="C13" s="891">
        <v>116.66</v>
      </c>
      <c r="D13" s="891">
        <v>45.290999999999997</v>
      </c>
      <c r="E13" s="891">
        <v>63.28</v>
      </c>
      <c r="F13" s="891">
        <v>2.1040000000000001</v>
      </c>
      <c r="G13" s="891">
        <v>25.46</v>
      </c>
      <c r="H13" s="891">
        <v>280.13400000000001</v>
      </c>
      <c r="I13" s="891">
        <v>373.75299999999999</v>
      </c>
      <c r="J13" s="892">
        <v>341.97</v>
      </c>
    </row>
    <row r="14" spans="1:10" ht="17.100000000000001" customHeight="1" thickBot="1" x14ac:dyDescent="0.3">
      <c r="A14" s="682" t="s">
        <v>395</v>
      </c>
      <c r="B14" s="896">
        <v>2499.317</v>
      </c>
      <c r="C14" s="896">
        <v>3287.9279999999999</v>
      </c>
      <c r="D14" s="896">
        <v>3178.009</v>
      </c>
      <c r="E14" s="896">
        <v>3148.1419999999998</v>
      </c>
      <c r="F14" s="896">
        <v>3004.4059999999999</v>
      </c>
      <c r="G14" s="896">
        <v>2776.4780000000001</v>
      </c>
      <c r="H14" s="896">
        <v>2859.6689999999999</v>
      </c>
      <c r="I14" s="896">
        <v>2692.6959999999999</v>
      </c>
      <c r="J14" s="897">
        <v>2116.9340000000002</v>
      </c>
    </row>
    <row r="15" spans="1:10" ht="17.100000000000001" customHeight="1" thickBot="1" x14ac:dyDescent="0.3">
      <c r="A15" s="289"/>
      <c r="B15" s="289"/>
      <c r="C15" s="289"/>
      <c r="D15" s="289"/>
      <c r="E15" s="289"/>
      <c r="F15" s="289"/>
      <c r="G15" s="289"/>
      <c r="H15" s="289"/>
      <c r="I15" s="289"/>
      <c r="J15" s="289"/>
    </row>
    <row r="16" spans="1:10" ht="17.100000000000001" customHeight="1" x14ac:dyDescent="0.25">
      <c r="A16" s="887" t="s">
        <v>396</v>
      </c>
      <c r="B16" s="888">
        <v>269.423</v>
      </c>
      <c r="C16" s="888">
        <v>804.30100000000004</v>
      </c>
      <c r="D16" s="888">
        <v>1177.008</v>
      </c>
      <c r="E16" s="888">
        <v>1176.921</v>
      </c>
      <c r="F16" s="888">
        <v>1175.5540000000001</v>
      </c>
      <c r="G16" s="888">
        <v>1174.645</v>
      </c>
      <c r="H16" s="888">
        <v>179.34899999999999</v>
      </c>
      <c r="I16" s="888">
        <v>174.82599999999999</v>
      </c>
      <c r="J16" s="889">
        <v>172.54900000000001</v>
      </c>
    </row>
    <row r="17" spans="1:10" ht="17.100000000000001" customHeight="1" x14ac:dyDescent="0.25">
      <c r="A17" s="890" t="s">
        <v>397</v>
      </c>
      <c r="B17" s="891">
        <v>1143.7729999999999</v>
      </c>
      <c r="C17" s="891">
        <v>1143.7729999999999</v>
      </c>
      <c r="D17" s="891">
        <v>1143.7729999999999</v>
      </c>
      <c r="E17" s="891">
        <v>1143.7729999999999</v>
      </c>
      <c r="F17" s="891">
        <v>1143.7729999999999</v>
      </c>
      <c r="G17" s="891">
        <v>1143.7729999999999</v>
      </c>
      <c r="H17" s="891">
        <v>150.25299999999999</v>
      </c>
      <c r="I17" s="891">
        <v>150.25299999999999</v>
      </c>
      <c r="J17" s="892">
        <v>150.25299999999999</v>
      </c>
    </row>
    <row r="18" spans="1:10" ht="17.100000000000001" customHeight="1" x14ac:dyDescent="0.25">
      <c r="A18" s="890" t="s">
        <v>398</v>
      </c>
      <c r="B18" s="891">
        <v>-874.35</v>
      </c>
      <c r="C18" s="891">
        <v>-339.47199999999998</v>
      </c>
      <c r="D18" s="891">
        <v>33.234999999999999</v>
      </c>
      <c r="E18" s="891">
        <v>33.148000000000003</v>
      </c>
      <c r="F18" s="891">
        <v>31.780999999999999</v>
      </c>
      <c r="G18" s="891">
        <v>30.872</v>
      </c>
      <c r="H18" s="891">
        <v>29.096</v>
      </c>
      <c r="I18" s="891">
        <v>24.573</v>
      </c>
      <c r="J18" s="892">
        <v>22.295999999999999</v>
      </c>
    </row>
    <row r="19" spans="1:10" ht="17.100000000000001" customHeight="1" x14ac:dyDescent="0.25">
      <c r="A19" s="681" t="s">
        <v>865</v>
      </c>
      <c r="B19" s="894">
        <v>2063.134</v>
      </c>
      <c r="C19" s="894">
        <v>2286.5700000000002</v>
      </c>
      <c r="D19" s="894">
        <v>129.167</v>
      </c>
      <c r="E19" s="894">
        <v>179.166</v>
      </c>
      <c r="F19" s="894">
        <v>229.166</v>
      </c>
      <c r="G19" s="894">
        <v>229.166</v>
      </c>
      <c r="H19" s="894">
        <v>372.97899999999998</v>
      </c>
      <c r="I19" s="894">
        <v>431.935</v>
      </c>
      <c r="J19" s="895">
        <v>479.03</v>
      </c>
    </row>
    <row r="20" spans="1:10" ht="17.100000000000001" customHeight="1" x14ac:dyDescent="0.25">
      <c r="A20" s="890" t="s">
        <v>400</v>
      </c>
      <c r="B20" s="891">
        <v>2063.134</v>
      </c>
      <c r="C20" s="891">
        <v>2286.5700000000002</v>
      </c>
      <c r="D20" s="898">
        <v>129.167</v>
      </c>
      <c r="E20" s="891">
        <v>179.166</v>
      </c>
      <c r="F20" s="891">
        <v>229.166</v>
      </c>
      <c r="G20" s="891">
        <v>229.166</v>
      </c>
      <c r="H20" s="891">
        <v>372.97899999999998</v>
      </c>
      <c r="I20" s="891">
        <v>431.935</v>
      </c>
      <c r="J20" s="892">
        <v>479.03</v>
      </c>
    </row>
    <row r="21" spans="1:10" ht="17.100000000000001" customHeight="1" x14ac:dyDescent="0.25">
      <c r="A21" s="681" t="s">
        <v>866</v>
      </c>
      <c r="B21" s="894">
        <v>166.76</v>
      </c>
      <c r="C21" s="894">
        <v>197.05699999999999</v>
      </c>
      <c r="D21" s="894">
        <v>1871.8340000000001</v>
      </c>
      <c r="E21" s="894">
        <v>1792.0550000000001</v>
      </c>
      <c r="F21" s="894">
        <v>1599.6859999999999</v>
      </c>
      <c r="G21" s="894">
        <v>1372.6669999999999</v>
      </c>
      <c r="H21" s="894">
        <v>2307.34</v>
      </c>
      <c r="I21" s="894">
        <v>2085.9360000000001</v>
      </c>
      <c r="J21" s="895">
        <v>1465.355</v>
      </c>
    </row>
    <row r="22" spans="1:10" ht="17.100000000000001" customHeight="1" x14ac:dyDescent="0.25">
      <c r="A22" s="890" t="s">
        <v>867</v>
      </c>
      <c r="B22" s="891">
        <v>68.855000000000004</v>
      </c>
      <c r="C22" s="891">
        <v>101.607</v>
      </c>
      <c r="D22" s="898">
        <v>0</v>
      </c>
      <c r="E22" s="898">
        <v>0</v>
      </c>
      <c r="F22" s="898">
        <v>0</v>
      </c>
      <c r="G22" s="898">
        <v>0</v>
      </c>
      <c r="H22" s="898">
        <v>0</v>
      </c>
      <c r="I22" s="898">
        <v>0</v>
      </c>
      <c r="J22" s="899">
        <v>0</v>
      </c>
    </row>
    <row r="23" spans="1:10" ht="17.100000000000001" customHeight="1" x14ac:dyDescent="0.25">
      <c r="A23" s="890" t="s">
        <v>402</v>
      </c>
      <c r="B23" s="891">
        <v>97.905000000000001</v>
      </c>
      <c r="C23" s="891">
        <v>95.45</v>
      </c>
      <c r="D23" s="891">
        <v>1871.8340000000001</v>
      </c>
      <c r="E23" s="891">
        <v>1792.0550000000001</v>
      </c>
      <c r="F23" s="891">
        <v>1599.6859999999999</v>
      </c>
      <c r="G23" s="891">
        <v>1372.6669999999999</v>
      </c>
      <c r="H23" s="891">
        <v>2307.34</v>
      </c>
      <c r="I23" s="891">
        <v>2085.9360000000001</v>
      </c>
      <c r="J23" s="892">
        <v>1465.355</v>
      </c>
    </row>
    <row r="24" spans="1:10" ht="17.100000000000001" customHeight="1" thickBot="1" x14ac:dyDescent="0.3">
      <c r="A24" s="682" t="s">
        <v>403</v>
      </c>
      <c r="B24" s="896">
        <v>2499.317</v>
      </c>
      <c r="C24" s="896">
        <v>3287.9279999999999</v>
      </c>
      <c r="D24" s="896">
        <v>3178.009</v>
      </c>
      <c r="E24" s="896">
        <v>3148.1419999999998</v>
      </c>
      <c r="F24" s="896">
        <v>3004.4059999999999</v>
      </c>
      <c r="G24" s="896">
        <v>2776.4780000000001</v>
      </c>
      <c r="H24" s="896">
        <v>2859.6689999999999</v>
      </c>
      <c r="I24" s="896">
        <v>2692.6959999999999</v>
      </c>
      <c r="J24" s="897">
        <v>2116.9340000000002</v>
      </c>
    </row>
    <row r="25" spans="1:10" ht="17.100000000000001" customHeight="1" x14ac:dyDescent="0.25">
      <c r="A25" s="289"/>
      <c r="B25" s="289"/>
      <c r="C25" s="289"/>
      <c r="D25" s="289"/>
      <c r="E25" s="289"/>
      <c r="F25" s="289"/>
      <c r="G25" s="289"/>
      <c r="H25" s="289"/>
      <c r="I25" s="289"/>
      <c r="J25" s="289"/>
    </row>
    <row r="26" spans="1:10" ht="17.100000000000001" customHeight="1" thickBot="1" x14ac:dyDescent="0.3">
      <c r="A26" s="900" t="s">
        <v>404</v>
      </c>
      <c r="B26" s="901">
        <v>1</v>
      </c>
      <c r="C26" s="902">
        <v>1</v>
      </c>
      <c r="D26" s="902">
        <v>5</v>
      </c>
      <c r="E26" s="902">
        <v>5</v>
      </c>
      <c r="F26" s="902">
        <v>5</v>
      </c>
      <c r="G26" s="902">
        <v>5</v>
      </c>
      <c r="H26" s="902">
        <v>5</v>
      </c>
      <c r="I26" s="902">
        <v>5</v>
      </c>
      <c r="J26" s="902">
        <v>17</v>
      </c>
    </row>
    <row r="27" spans="1:10" ht="17.100000000000001" customHeight="1" x14ac:dyDescent="0.25">
      <c r="A27" s="672"/>
      <c r="B27" s="727" t="s">
        <v>862</v>
      </c>
      <c r="C27" s="727" t="s">
        <v>862</v>
      </c>
      <c r="D27" s="727" t="s">
        <v>862</v>
      </c>
      <c r="E27" s="727" t="s">
        <v>862</v>
      </c>
      <c r="F27" s="727" t="s">
        <v>862</v>
      </c>
      <c r="G27" s="727" t="s">
        <v>862</v>
      </c>
      <c r="H27" s="727" t="s">
        <v>862</v>
      </c>
      <c r="I27" s="727" t="s">
        <v>862</v>
      </c>
      <c r="J27" s="729" t="s">
        <v>862</v>
      </c>
    </row>
    <row r="28" spans="1:10" ht="22.5" customHeight="1" x14ac:dyDescent="0.25">
      <c r="A28" s="675" t="s">
        <v>366</v>
      </c>
      <c r="B28" s="903">
        <v>2009</v>
      </c>
      <c r="C28" s="903">
        <v>2008</v>
      </c>
      <c r="D28" s="903">
        <v>2007</v>
      </c>
      <c r="E28" s="903">
        <v>2006</v>
      </c>
      <c r="F28" s="903">
        <v>2005</v>
      </c>
      <c r="G28" s="903">
        <v>2004</v>
      </c>
      <c r="H28" s="903">
        <v>2003</v>
      </c>
      <c r="I28" s="903">
        <v>2002</v>
      </c>
      <c r="J28" s="904">
        <v>2001</v>
      </c>
    </row>
    <row r="29" spans="1:10" ht="17.100000000000001" customHeight="1" x14ac:dyDescent="0.25">
      <c r="A29" s="681" t="s">
        <v>868</v>
      </c>
      <c r="B29" s="891">
        <v>1268.598</v>
      </c>
      <c r="C29" s="891">
        <v>3130.0619999999999</v>
      </c>
      <c r="D29" s="891">
        <v>4555.509</v>
      </c>
      <c r="E29" s="891">
        <v>2989.0459999999998</v>
      </c>
      <c r="F29" s="891">
        <v>2731.29</v>
      </c>
      <c r="G29" s="891">
        <v>2505.2620000000002</v>
      </c>
      <c r="H29" s="891">
        <v>2488.835</v>
      </c>
      <c r="I29" s="891">
        <v>2108.14</v>
      </c>
      <c r="J29" s="892">
        <v>1303.1969999999999</v>
      </c>
    </row>
    <row r="30" spans="1:10" ht="17.100000000000001" customHeight="1" x14ac:dyDescent="0.25">
      <c r="A30" s="681" t="s">
        <v>373</v>
      </c>
      <c r="B30" s="891">
        <v>1169.672</v>
      </c>
      <c r="C30" s="891">
        <v>3049.4340000000002</v>
      </c>
      <c r="D30" s="891">
        <v>4188.6530000000002</v>
      </c>
      <c r="E30" s="891">
        <v>2639.4459999999999</v>
      </c>
      <c r="F30" s="891">
        <v>2434.3989999999999</v>
      </c>
      <c r="G30" s="891">
        <v>2138.873</v>
      </c>
      <c r="H30" s="891">
        <v>2062.4009999999998</v>
      </c>
      <c r="I30" s="891">
        <v>1660.2260000000001</v>
      </c>
      <c r="J30" s="892">
        <v>890.56700000000001</v>
      </c>
    </row>
    <row r="31" spans="1:10" ht="17.100000000000001" customHeight="1" x14ac:dyDescent="0.25">
      <c r="A31" s="678" t="s">
        <v>121</v>
      </c>
      <c r="B31" s="905">
        <v>98.926000000000002</v>
      </c>
      <c r="C31" s="905">
        <v>80.628</v>
      </c>
      <c r="D31" s="905">
        <v>366.85599999999999</v>
      </c>
      <c r="E31" s="905">
        <v>349.6</v>
      </c>
      <c r="F31" s="905">
        <v>296.89100000000002</v>
      </c>
      <c r="G31" s="905">
        <v>366.38900000000001</v>
      </c>
      <c r="H31" s="905">
        <v>426.43400000000003</v>
      </c>
      <c r="I31" s="905">
        <v>447.91399999999999</v>
      </c>
      <c r="J31" s="906">
        <v>412.63</v>
      </c>
    </row>
    <row r="32" spans="1:10" ht="17.100000000000001" customHeight="1" x14ac:dyDescent="0.25">
      <c r="A32" s="681" t="s">
        <v>407</v>
      </c>
      <c r="B32" s="891">
        <v>6.3529999999999998</v>
      </c>
      <c r="C32" s="891">
        <v>8.4250000000000007</v>
      </c>
      <c r="D32" s="891">
        <v>64.676000000000002</v>
      </c>
      <c r="E32" s="891">
        <v>70.808000000000007</v>
      </c>
      <c r="F32" s="891">
        <v>72.326999999999998</v>
      </c>
      <c r="G32" s="891">
        <v>83.808999999999997</v>
      </c>
      <c r="H32" s="891">
        <v>85.585999999999999</v>
      </c>
      <c r="I32" s="891">
        <v>71.728999999999999</v>
      </c>
      <c r="J32" s="892">
        <v>204.71</v>
      </c>
    </row>
    <row r="33" spans="1:14" ht="17.100000000000001" customHeight="1" x14ac:dyDescent="0.25">
      <c r="A33" s="681" t="s">
        <v>774</v>
      </c>
      <c r="B33" s="891">
        <v>39.515000000000001</v>
      </c>
      <c r="C33" s="891">
        <v>48.973999999999997</v>
      </c>
      <c r="D33" s="891">
        <v>76.100999999999999</v>
      </c>
      <c r="E33" s="891">
        <v>99.266999999999996</v>
      </c>
      <c r="F33" s="891">
        <v>86.447000000000003</v>
      </c>
      <c r="G33" s="891">
        <v>78.129000000000005</v>
      </c>
      <c r="H33" s="891">
        <v>97.608000000000004</v>
      </c>
      <c r="I33" s="891">
        <v>69.736000000000004</v>
      </c>
      <c r="J33" s="892">
        <v>70.661000000000001</v>
      </c>
    </row>
    <row r="34" spans="1:14" ht="17.100000000000001" customHeight="1" x14ac:dyDescent="0.25">
      <c r="A34" s="681" t="s">
        <v>408</v>
      </c>
      <c r="B34" s="907">
        <v>621.11500000000001</v>
      </c>
      <c r="C34" s="907">
        <v>407.346</v>
      </c>
      <c r="D34" s="907">
        <v>191.48599999999999</v>
      </c>
      <c r="E34" s="907">
        <v>174.05099999999999</v>
      </c>
      <c r="F34" s="907">
        <v>188.536</v>
      </c>
      <c r="G34" s="907">
        <v>223.01900000000001</v>
      </c>
      <c r="H34" s="907">
        <v>241.83199999999999</v>
      </c>
      <c r="I34" s="907">
        <v>151.81100000000001</v>
      </c>
      <c r="J34" s="908">
        <v>119.79600000000001</v>
      </c>
    </row>
    <row r="35" spans="1:14" ht="17.100000000000001" customHeight="1" x14ac:dyDescent="0.25">
      <c r="A35" s="678" t="s">
        <v>62</v>
      </c>
      <c r="B35" s="909">
        <v>-568.05700000000002</v>
      </c>
      <c r="C35" s="909">
        <v>-384.11700000000002</v>
      </c>
      <c r="D35" s="909">
        <v>34.593000000000004</v>
      </c>
      <c r="E35" s="909">
        <v>5.4740000000000002</v>
      </c>
      <c r="F35" s="909">
        <v>-50.418999999999997</v>
      </c>
      <c r="G35" s="909">
        <v>-18.568000000000001</v>
      </c>
      <c r="H35" s="909">
        <v>1.4079999999999999</v>
      </c>
      <c r="I35" s="909">
        <v>154.63800000000001</v>
      </c>
      <c r="J35" s="910">
        <v>17.463000000000001</v>
      </c>
    </row>
    <row r="36" spans="1:14" ht="17.100000000000001" customHeight="1" x14ac:dyDescent="0.25">
      <c r="A36" s="681" t="s">
        <v>410</v>
      </c>
      <c r="B36" s="891">
        <v>40.264000000000003</v>
      </c>
      <c r="C36" s="891">
        <v>4.0940000000000003</v>
      </c>
      <c r="D36" s="891">
        <v>2.3519999999999999</v>
      </c>
      <c r="E36" s="891">
        <v>1.71</v>
      </c>
      <c r="F36" s="891">
        <v>6.1180000000000003</v>
      </c>
      <c r="G36" s="891">
        <v>2.9630000000000001</v>
      </c>
      <c r="H36" s="891">
        <v>8.3010000000000002</v>
      </c>
      <c r="I36" s="891">
        <v>3.7989999999999999</v>
      </c>
      <c r="J36" s="892">
        <v>1.101</v>
      </c>
    </row>
    <row r="37" spans="1:14" ht="17.100000000000001" customHeight="1" x14ac:dyDescent="0.25">
      <c r="A37" s="681" t="s">
        <v>411</v>
      </c>
      <c r="B37" s="891">
        <v>7.0839999999999996</v>
      </c>
      <c r="C37" s="891">
        <v>115.364</v>
      </c>
      <c r="D37" s="891">
        <v>34.908000000000001</v>
      </c>
      <c r="E37" s="891">
        <v>30.905999999999999</v>
      </c>
      <c r="F37" s="891">
        <v>24.792999999999999</v>
      </c>
      <c r="G37" s="891">
        <v>25.420999999999999</v>
      </c>
      <c r="H37" s="891">
        <v>21.823</v>
      </c>
      <c r="I37" s="891">
        <v>163.37200000000001</v>
      </c>
      <c r="J37" s="892">
        <v>22.516999999999999</v>
      </c>
    </row>
    <row r="38" spans="1:14" ht="17.100000000000001" customHeight="1" x14ac:dyDescent="0.25">
      <c r="A38" s="681" t="s">
        <v>412</v>
      </c>
      <c r="B38" s="891">
        <v>33.18</v>
      </c>
      <c r="C38" s="891">
        <v>-111.27</v>
      </c>
      <c r="D38" s="891">
        <v>-32.555999999999997</v>
      </c>
      <c r="E38" s="891">
        <v>-29.196999999999999</v>
      </c>
      <c r="F38" s="891">
        <v>-18.675000000000001</v>
      </c>
      <c r="G38" s="891">
        <v>-22.457999999999998</v>
      </c>
      <c r="H38" s="891">
        <v>-13.523</v>
      </c>
      <c r="I38" s="891">
        <v>-159.572</v>
      </c>
      <c r="J38" s="892">
        <v>-21.416</v>
      </c>
    </row>
    <row r="39" spans="1:14" ht="17.100000000000001" customHeight="1" x14ac:dyDescent="0.25">
      <c r="A39" s="681" t="s">
        <v>413</v>
      </c>
      <c r="B39" s="891">
        <v>-534.87699999999995</v>
      </c>
      <c r="C39" s="891">
        <v>-495.387</v>
      </c>
      <c r="D39" s="891">
        <v>2.0369999999999999</v>
      </c>
      <c r="E39" s="891">
        <v>-23.722000000000001</v>
      </c>
      <c r="F39" s="891">
        <v>-69.093999999999994</v>
      </c>
      <c r="G39" s="891">
        <v>-41.026000000000003</v>
      </c>
      <c r="H39" s="891">
        <v>-12.114000000000001</v>
      </c>
      <c r="I39" s="891">
        <v>-4.9349999999999996</v>
      </c>
      <c r="J39" s="892">
        <v>-3.9529999999999998</v>
      </c>
    </row>
    <row r="40" spans="1:14" ht="17.100000000000001" customHeight="1" x14ac:dyDescent="0.25">
      <c r="A40" s="681" t="s">
        <v>414</v>
      </c>
      <c r="B40" s="898">
        <v>0</v>
      </c>
      <c r="C40" s="891">
        <v>-123.253</v>
      </c>
      <c r="D40" s="893">
        <v>0.61099999999999999</v>
      </c>
      <c r="E40" s="893">
        <v>0.58599999999999997</v>
      </c>
      <c r="F40" s="893">
        <v>0.39</v>
      </c>
      <c r="G40" s="893">
        <v>0.76100000000000001</v>
      </c>
      <c r="H40" s="891">
        <v>1.9390000000000001</v>
      </c>
      <c r="I40" s="893">
        <v>0.97599999999999998</v>
      </c>
      <c r="J40" s="911">
        <v>0.72099999999999997</v>
      </c>
    </row>
    <row r="41" spans="1:14" ht="17.100000000000001" customHeight="1" thickBot="1" x14ac:dyDescent="0.3">
      <c r="A41" s="682" t="s">
        <v>869</v>
      </c>
      <c r="B41" s="896">
        <v>-534.87800000000004</v>
      </c>
      <c r="C41" s="896">
        <v>-372.13400000000001</v>
      </c>
      <c r="D41" s="896">
        <v>1.4259999999999999</v>
      </c>
      <c r="E41" s="896">
        <v>-24.308</v>
      </c>
      <c r="F41" s="896">
        <v>-69.484999999999999</v>
      </c>
      <c r="G41" s="896">
        <v>-41.786999999999999</v>
      </c>
      <c r="H41" s="896">
        <v>-14.054</v>
      </c>
      <c r="I41" s="896">
        <v>-5.91</v>
      </c>
      <c r="J41" s="897">
        <v>-4.6740000000000004</v>
      </c>
    </row>
    <row r="42" spans="1:14" ht="11.45" customHeight="1" x14ac:dyDescent="0.25">
      <c r="A42" s="289"/>
    </row>
    <row r="43" spans="1:14" x14ac:dyDescent="0.25">
      <c r="A43" s="670" t="s">
        <v>870</v>
      </c>
    </row>
    <row r="44" spans="1:14" x14ac:dyDescent="0.25">
      <c r="A44" s="912" t="s">
        <v>871</v>
      </c>
      <c r="B44" s="913">
        <f>+B31/B29</f>
        <v>7.7980573830322933E-2</v>
      </c>
      <c r="C44" s="913">
        <f t="shared" ref="C44:J44" si="0">+C31/C29</f>
        <v>2.5759234162134808E-2</v>
      </c>
      <c r="D44" s="913">
        <f t="shared" si="0"/>
        <v>8.0530188832905386E-2</v>
      </c>
      <c r="E44" s="913">
        <f t="shared" si="0"/>
        <v>0.11696039472125891</v>
      </c>
      <c r="F44" s="913">
        <f t="shared" si="0"/>
        <v>0.10869991835359849</v>
      </c>
      <c r="G44" s="913">
        <f t="shared" si="0"/>
        <v>0.14624777767754429</v>
      </c>
      <c r="H44" s="913">
        <f t="shared" si="0"/>
        <v>0.17133879907667646</v>
      </c>
      <c r="I44" s="913">
        <f t="shared" si="0"/>
        <v>0.2124688113692639</v>
      </c>
      <c r="J44" s="914">
        <f t="shared" si="0"/>
        <v>0.31662902845847563</v>
      </c>
    </row>
    <row r="45" spans="1:14" x14ac:dyDescent="0.25">
      <c r="A45" s="884" t="s">
        <v>872</v>
      </c>
    </row>
    <row r="46" spans="1:14" ht="19.5" customHeight="1" x14ac:dyDescent="0.25">
      <c r="A46" s="884" t="s">
        <v>873</v>
      </c>
      <c r="M46" s="915"/>
      <c r="N46" s="915"/>
    </row>
    <row r="47" spans="1:14" x14ac:dyDescent="0.25">
      <c r="M47" s="915"/>
      <c r="N47" s="915"/>
    </row>
    <row r="48" spans="1:14" ht="16.5" thickBot="1" x14ac:dyDescent="0.3">
      <c r="A48" s="884" t="s">
        <v>886</v>
      </c>
      <c r="M48" s="915"/>
      <c r="N48" s="915"/>
    </row>
    <row r="49" spans="1:14" x14ac:dyDescent="0.25">
      <c r="A49" s="916" t="s">
        <v>874</v>
      </c>
      <c r="B49" s="917"/>
      <c r="C49" s="918">
        <f>+C29-$J$29</f>
        <v>1826.865</v>
      </c>
      <c r="D49" s="918">
        <f t="shared" ref="D49:I49" si="1">+D29-$J$29</f>
        <v>3252.3119999999999</v>
      </c>
      <c r="E49" s="918">
        <f t="shared" si="1"/>
        <v>1685.8489999999999</v>
      </c>
      <c r="F49" s="918">
        <f t="shared" si="1"/>
        <v>1428.0930000000001</v>
      </c>
      <c r="G49" s="918">
        <f t="shared" si="1"/>
        <v>1202.0650000000003</v>
      </c>
      <c r="H49" s="918">
        <f t="shared" si="1"/>
        <v>1185.6380000000001</v>
      </c>
      <c r="I49" s="919">
        <f t="shared" si="1"/>
        <v>804.94299999999998</v>
      </c>
      <c r="M49" s="915"/>
      <c r="N49" s="915"/>
    </row>
    <row r="50" spans="1:14" x14ac:dyDescent="0.25">
      <c r="A50" s="920" t="s">
        <v>875</v>
      </c>
      <c r="B50" s="921"/>
      <c r="C50" s="921"/>
      <c r="D50" s="921"/>
      <c r="E50" s="921"/>
      <c r="F50" s="921"/>
      <c r="G50" s="921"/>
      <c r="H50" s="921"/>
      <c r="I50" s="922"/>
      <c r="M50" s="915"/>
      <c r="N50" s="915"/>
    </row>
    <row r="51" spans="1:14" x14ac:dyDescent="0.25">
      <c r="A51" s="920" t="s">
        <v>876</v>
      </c>
      <c r="B51" s="921"/>
      <c r="C51" s="923">
        <v>0.3</v>
      </c>
      <c r="D51" s="923">
        <v>0.3</v>
      </c>
      <c r="E51" s="923">
        <v>0.3</v>
      </c>
      <c r="F51" s="923">
        <v>0.3</v>
      </c>
      <c r="G51" s="923">
        <v>0.3</v>
      </c>
      <c r="H51" s="923">
        <v>0.3</v>
      </c>
      <c r="I51" s="924">
        <v>0.3</v>
      </c>
      <c r="M51" s="915"/>
      <c r="N51" s="915"/>
    </row>
    <row r="52" spans="1:14" x14ac:dyDescent="0.25">
      <c r="A52" s="920" t="s">
        <v>878</v>
      </c>
      <c r="B52" s="921"/>
      <c r="C52" s="925">
        <f t="shared" ref="C52:H52" si="2">+C49*C51</f>
        <v>548.05949999999996</v>
      </c>
      <c r="D52" s="925">
        <f t="shared" si="2"/>
        <v>975.69359999999995</v>
      </c>
      <c r="E52" s="925">
        <f t="shared" si="2"/>
        <v>505.75469999999996</v>
      </c>
      <c r="F52" s="925">
        <f t="shared" si="2"/>
        <v>428.42790000000002</v>
      </c>
      <c r="G52" s="925">
        <f t="shared" si="2"/>
        <v>360.61950000000007</v>
      </c>
      <c r="H52" s="925">
        <f t="shared" si="2"/>
        <v>355.69140000000004</v>
      </c>
      <c r="I52" s="926">
        <f>+I49*I51</f>
        <v>241.48289999999997</v>
      </c>
      <c r="M52" s="915"/>
      <c r="N52" s="915"/>
    </row>
    <row r="53" spans="1:14" x14ac:dyDescent="0.25">
      <c r="A53" s="927" t="s">
        <v>879</v>
      </c>
      <c r="B53" s="928"/>
      <c r="C53" s="929">
        <f t="shared" ref="C53:G53" si="3">+C52+D53</f>
        <v>3415.7294999999999</v>
      </c>
      <c r="D53" s="929">
        <f t="shared" si="3"/>
        <v>2867.67</v>
      </c>
      <c r="E53" s="929">
        <f t="shared" si="3"/>
        <v>1891.9764</v>
      </c>
      <c r="F53" s="929">
        <f t="shared" si="3"/>
        <v>1386.2217000000001</v>
      </c>
      <c r="G53" s="929">
        <f t="shared" si="3"/>
        <v>957.79380000000015</v>
      </c>
      <c r="H53" s="929">
        <f>+H52+I53</f>
        <v>597.17430000000002</v>
      </c>
      <c r="I53" s="930">
        <f>+I52</f>
        <v>241.48289999999997</v>
      </c>
      <c r="M53" s="915"/>
      <c r="N53" s="915"/>
    </row>
    <row r="54" spans="1:14" x14ac:dyDescent="0.25">
      <c r="A54" s="920" t="s">
        <v>880</v>
      </c>
      <c r="B54" s="921"/>
      <c r="C54" s="923"/>
      <c r="D54" s="923"/>
      <c r="E54" s="923"/>
      <c r="F54" s="923"/>
      <c r="G54" s="923"/>
      <c r="H54" s="923"/>
      <c r="I54" s="924"/>
      <c r="M54" s="915"/>
      <c r="N54" s="915"/>
    </row>
    <row r="55" spans="1:14" x14ac:dyDescent="0.25">
      <c r="A55" s="920"/>
      <c r="B55" s="921"/>
      <c r="C55" s="931">
        <v>5.5E-2</v>
      </c>
      <c r="D55" s="931">
        <v>0.05</v>
      </c>
      <c r="E55" s="931">
        <v>0.04</v>
      </c>
      <c r="F55" s="931">
        <v>0.04</v>
      </c>
      <c r="G55" s="931">
        <v>3.7499999999999999E-2</v>
      </c>
      <c r="H55" s="931">
        <v>4.2500000000000003E-2</v>
      </c>
      <c r="I55" s="932">
        <v>4.2500000000000003E-2</v>
      </c>
      <c r="M55" s="915"/>
      <c r="N55" s="915"/>
    </row>
    <row r="56" spans="1:14" x14ac:dyDescent="0.25">
      <c r="A56" s="920" t="s">
        <v>882</v>
      </c>
      <c r="B56" s="921"/>
      <c r="C56" s="933">
        <f t="shared" ref="C56:H56" si="4">+C53*C55</f>
        <v>187.86512249999998</v>
      </c>
      <c r="D56" s="933">
        <f t="shared" si="4"/>
        <v>143.3835</v>
      </c>
      <c r="E56" s="933">
        <f t="shared" si="4"/>
        <v>75.679056000000003</v>
      </c>
      <c r="F56" s="933">
        <f t="shared" si="4"/>
        <v>55.448868000000004</v>
      </c>
      <c r="G56" s="933">
        <f t="shared" si="4"/>
        <v>35.917267500000001</v>
      </c>
      <c r="H56" s="933">
        <f t="shared" si="4"/>
        <v>25.379907750000001</v>
      </c>
      <c r="I56" s="934">
        <f>+I53*I55</f>
        <v>10.26302325</v>
      </c>
    </row>
    <row r="57" spans="1:14" x14ac:dyDescent="0.25">
      <c r="A57" s="920" t="s">
        <v>883</v>
      </c>
      <c r="B57" s="921"/>
      <c r="C57" s="925">
        <f t="shared" ref="C57:G57" si="5">+C56+D57</f>
        <v>533.93674499999997</v>
      </c>
      <c r="D57" s="925">
        <f t="shared" si="5"/>
        <v>346.07162249999999</v>
      </c>
      <c r="E57" s="925">
        <f t="shared" si="5"/>
        <v>202.68812250000002</v>
      </c>
      <c r="F57" s="925">
        <f t="shared" si="5"/>
        <v>127.00906650000002</v>
      </c>
      <c r="G57" s="925">
        <f t="shared" si="5"/>
        <v>71.560198500000013</v>
      </c>
      <c r="H57" s="925">
        <f>+H56+I57</f>
        <v>35.642931000000004</v>
      </c>
      <c r="I57" s="926">
        <f>+I56</f>
        <v>10.26302325</v>
      </c>
    </row>
    <row r="58" spans="1:14" ht="16.5" thickBot="1" x14ac:dyDescent="0.3">
      <c r="A58" s="935" t="s">
        <v>884</v>
      </c>
      <c r="B58" s="936"/>
      <c r="C58" s="937">
        <f>+C53+C57</f>
        <v>3949.6662449999999</v>
      </c>
      <c r="D58" s="938"/>
      <c r="E58" s="938"/>
      <c r="F58" s="938"/>
      <c r="G58" s="938"/>
      <c r="H58" s="938"/>
      <c r="I58" s="939"/>
    </row>
    <row r="61" spans="1:14" ht="16.5" thickBot="1" x14ac:dyDescent="0.3">
      <c r="A61" s="884" t="s">
        <v>887</v>
      </c>
    </row>
    <row r="62" spans="1:14" x14ac:dyDescent="0.25">
      <c r="A62" s="916" t="s">
        <v>877</v>
      </c>
      <c r="B62" s="917"/>
      <c r="C62" s="940">
        <v>0.12</v>
      </c>
      <c r="D62" s="940">
        <v>0.12</v>
      </c>
      <c r="E62" s="940">
        <v>0.12</v>
      </c>
      <c r="F62" s="940">
        <v>0.12</v>
      </c>
      <c r="G62" s="940">
        <v>0.12</v>
      </c>
      <c r="H62" s="940">
        <v>0.12</v>
      </c>
      <c r="I62" s="941">
        <v>0.12</v>
      </c>
    </row>
    <row r="63" spans="1:14" x14ac:dyDescent="0.25">
      <c r="A63" s="920" t="s">
        <v>881</v>
      </c>
      <c r="B63" s="921"/>
      <c r="C63" s="925">
        <f>+C62*C49</f>
        <v>219.22379999999998</v>
      </c>
      <c r="D63" s="925">
        <f t="shared" ref="D63:I63" si="6">+D62*D49</f>
        <v>390.27743999999996</v>
      </c>
      <c r="E63" s="925">
        <f t="shared" si="6"/>
        <v>202.30187999999998</v>
      </c>
      <c r="F63" s="925">
        <f t="shared" si="6"/>
        <v>171.37116</v>
      </c>
      <c r="G63" s="925">
        <f t="shared" si="6"/>
        <v>144.24780000000004</v>
      </c>
      <c r="H63" s="925">
        <f t="shared" si="6"/>
        <v>142.27656000000002</v>
      </c>
      <c r="I63" s="926">
        <f t="shared" si="6"/>
        <v>96.593159999999997</v>
      </c>
    </row>
    <row r="64" spans="1:14" x14ac:dyDescent="0.25">
      <c r="A64" s="920" t="s">
        <v>885</v>
      </c>
      <c r="B64" s="921"/>
      <c r="C64" s="929">
        <f t="shared" ref="C64" si="7">+C63+D64</f>
        <v>1366.2918</v>
      </c>
      <c r="D64" s="929">
        <f t="shared" ref="D64" si="8">+D63+E64</f>
        <v>1147.068</v>
      </c>
      <c r="E64" s="929">
        <f t="shared" ref="E64" si="9">+E63+F64</f>
        <v>756.79056000000003</v>
      </c>
      <c r="F64" s="929">
        <f t="shared" ref="F64" si="10">+F63+G64</f>
        <v>554.48868000000004</v>
      </c>
      <c r="G64" s="929">
        <f t="shared" ref="G64" si="11">+G63+H64</f>
        <v>383.11752000000007</v>
      </c>
      <c r="H64" s="929">
        <f>+H63+I64</f>
        <v>238.86972000000003</v>
      </c>
      <c r="I64" s="930">
        <f>+I63</f>
        <v>96.593159999999997</v>
      </c>
    </row>
    <row r="65" spans="1:9" x14ac:dyDescent="0.25">
      <c r="A65" s="920" t="s">
        <v>880</v>
      </c>
      <c r="B65" s="921"/>
      <c r="C65" s="923"/>
      <c r="D65" s="923"/>
      <c r="E65" s="923"/>
      <c r="F65" s="923"/>
      <c r="G65" s="923"/>
      <c r="H65" s="923"/>
      <c r="I65" s="924"/>
    </row>
    <row r="66" spans="1:9" x14ac:dyDescent="0.25">
      <c r="A66" s="920"/>
      <c r="B66" s="921"/>
      <c r="C66" s="931">
        <v>5.5E-2</v>
      </c>
      <c r="D66" s="931">
        <v>0.05</v>
      </c>
      <c r="E66" s="931">
        <v>0.04</v>
      </c>
      <c r="F66" s="931">
        <v>0.04</v>
      </c>
      <c r="G66" s="931">
        <v>3.7499999999999999E-2</v>
      </c>
      <c r="H66" s="931">
        <v>4.2500000000000003E-2</v>
      </c>
      <c r="I66" s="932">
        <v>4.2500000000000003E-2</v>
      </c>
    </row>
    <row r="67" spans="1:9" x14ac:dyDescent="0.25">
      <c r="A67" s="920" t="s">
        <v>882</v>
      </c>
      <c r="B67" s="921"/>
      <c r="C67" s="933">
        <f t="shared" ref="C67" si="12">+C64*C66</f>
        <v>75.146049000000005</v>
      </c>
      <c r="D67" s="933">
        <f t="shared" ref="D67" si="13">+D64*D66</f>
        <v>57.353400000000001</v>
      </c>
      <c r="E67" s="933">
        <f t="shared" ref="E67" si="14">+E64*E66</f>
        <v>30.271622400000002</v>
      </c>
      <c r="F67" s="933">
        <f t="shared" ref="F67" si="15">+F64*F66</f>
        <v>22.179547200000002</v>
      </c>
      <c r="G67" s="933">
        <f t="shared" ref="G67" si="16">+G64*G66</f>
        <v>14.366907000000003</v>
      </c>
      <c r="H67" s="933">
        <f t="shared" ref="H67" si="17">+H64*H66</f>
        <v>10.151963100000001</v>
      </c>
      <c r="I67" s="934">
        <f>+I64*I66</f>
        <v>4.1052093000000003</v>
      </c>
    </row>
    <row r="68" spans="1:9" x14ac:dyDescent="0.25">
      <c r="A68" s="920" t="s">
        <v>883</v>
      </c>
      <c r="B68" s="921"/>
      <c r="C68" s="925">
        <f t="shared" ref="C68" si="18">+C67+D68</f>
        <v>213.57469800000001</v>
      </c>
      <c r="D68" s="925">
        <f t="shared" ref="D68" si="19">+D67+E68</f>
        <v>138.42864900000001</v>
      </c>
      <c r="E68" s="925">
        <f t="shared" ref="E68" si="20">+E67+F68</f>
        <v>81.075249000000014</v>
      </c>
      <c r="F68" s="925">
        <f t="shared" ref="F68" si="21">+F67+G68</f>
        <v>50.803626600000008</v>
      </c>
      <c r="G68" s="925">
        <f t="shared" ref="G68" si="22">+G67+H68</f>
        <v>28.624079400000007</v>
      </c>
      <c r="H68" s="925">
        <f>+H67+I68</f>
        <v>14.257172400000002</v>
      </c>
      <c r="I68" s="926">
        <f>+I67</f>
        <v>4.1052093000000003</v>
      </c>
    </row>
    <row r="69" spans="1:9" ht="16.5" thickBot="1" x14ac:dyDescent="0.3">
      <c r="A69" s="935" t="s">
        <v>884</v>
      </c>
      <c r="B69" s="942"/>
      <c r="C69" s="937">
        <f>+C64+C68</f>
        <v>1579.8664979999999</v>
      </c>
      <c r="D69" s="938"/>
      <c r="E69" s="938"/>
      <c r="F69" s="938"/>
      <c r="G69" s="938"/>
      <c r="H69" s="938"/>
      <c r="I69" s="9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2"/>
  <sheetViews>
    <sheetView showGridLines="0" topLeftCell="A16" workbookViewId="0">
      <selection activeCell="A2" sqref="A2:J52"/>
    </sheetView>
  </sheetViews>
  <sheetFormatPr baseColWidth="10" defaultColWidth="11.42578125" defaultRowHeight="15" x14ac:dyDescent="0.25"/>
  <cols>
    <col min="1" max="1" width="4.42578125" style="202" customWidth="1"/>
    <col min="2" max="2" width="26.85546875" style="202" customWidth="1"/>
    <col min="3" max="3" width="4.85546875" style="202" customWidth="1"/>
    <col min="4" max="10" width="13.140625" style="202" bestFit="1" customWidth="1"/>
    <col min="11" max="256" width="11.42578125" style="202"/>
    <col min="257" max="257" width="4.42578125" style="202" customWidth="1"/>
    <col min="258" max="258" width="26.85546875" style="202" customWidth="1"/>
    <col min="259" max="259" width="4.85546875" style="202" customWidth="1"/>
    <col min="260" max="512" width="11.42578125" style="202"/>
    <col min="513" max="513" width="4.42578125" style="202" customWidth="1"/>
    <col min="514" max="514" width="26.85546875" style="202" customWidth="1"/>
    <col min="515" max="515" width="4.85546875" style="202" customWidth="1"/>
    <col min="516" max="768" width="11.42578125" style="202"/>
    <col min="769" max="769" width="4.42578125" style="202" customWidth="1"/>
    <col min="770" max="770" width="26.85546875" style="202" customWidth="1"/>
    <col min="771" max="771" width="4.85546875" style="202" customWidth="1"/>
    <col min="772" max="1024" width="11.42578125" style="202"/>
    <col min="1025" max="1025" width="4.42578125" style="202" customWidth="1"/>
    <col min="1026" max="1026" width="26.85546875" style="202" customWidth="1"/>
    <col min="1027" max="1027" width="4.85546875" style="202" customWidth="1"/>
    <col min="1028" max="1280" width="11.42578125" style="202"/>
    <col min="1281" max="1281" width="4.42578125" style="202" customWidth="1"/>
    <col min="1282" max="1282" width="26.85546875" style="202" customWidth="1"/>
    <col min="1283" max="1283" width="4.85546875" style="202" customWidth="1"/>
    <col min="1284" max="1536" width="11.42578125" style="202"/>
    <col min="1537" max="1537" width="4.42578125" style="202" customWidth="1"/>
    <col min="1538" max="1538" width="26.85546875" style="202" customWidth="1"/>
    <col min="1539" max="1539" width="4.85546875" style="202" customWidth="1"/>
    <col min="1540" max="1792" width="11.42578125" style="202"/>
    <col min="1793" max="1793" width="4.42578125" style="202" customWidth="1"/>
    <col min="1794" max="1794" width="26.85546875" style="202" customWidth="1"/>
    <col min="1795" max="1795" width="4.85546875" style="202" customWidth="1"/>
    <col min="1796" max="2048" width="11.42578125" style="202"/>
    <col min="2049" max="2049" width="4.42578125" style="202" customWidth="1"/>
    <col min="2050" max="2050" width="26.85546875" style="202" customWidth="1"/>
    <col min="2051" max="2051" width="4.85546875" style="202" customWidth="1"/>
    <col min="2052" max="2304" width="11.42578125" style="202"/>
    <col min="2305" max="2305" width="4.42578125" style="202" customWidth="1"/>
    <col min="2306" max="2306" width="26.85546875" style="202" customWidth="1"/>
    <col min="2307" max="2307" width="4.85546875" style="202" customWidth="1"/>
    <col min="2308" max="2560" width="11.42578125" style="202"/>
    <col min="2561" max="2561" width="4.42578125" style="202" customWidth="1"/>
    <col min="2562" max="2562" width="26.85546875" style="202" customWidth="1"/>
    <col min="2563" max="2563" width="4.85546875" style="202" customWidth="1"/>
    <col min="2564" max="2816" width="11.42578125" style="202"/>
    <col min="2817" max="2817" width="4.42578125" style="202" customWidth="1"/>
    <col min="2818" max="2818" width="26.85546875" style="202" customWidth="1"/>
    <col min="2819" max="2819" width="4.85546875" style="202" customWidth="1"/>
    <col min="2820" max="3072" width="11.42578125" style="202"/>
    <col min="3073" max="3073" width="4.42578125" style="202" customWidth="1"/>
    <col min="3074" max="3074" width="26.85546875" style="202" customWidth="1"/>
    <col min="3075" max="3075" width="4.85546875" style="202" customWidth="1"/>
    <col min="3076" max="3328" width="11.42578125" style="202"/>
    <col min="3329" max="3329" width="4.42578125" style="202" customWidth="1"/>
    <col min="3330" max="3330" width="26.85546875" style="202" customWidth="1"/>
    <col min="3331" max="3331" width="4.85546875" style="202" customWidth="1"/>
    <col min="3332" max="3584" width="11.42578125" style="202"/>
    <col min="3585" max="3585" width="4.42578125" style="202" customWidth="1"/>
    <col min="3586" max="3586" width="26.85546875" style="202" customWidth="1"/>
    <col min="3587" max="3587" width="4.85546875" style="202" customWidth="1"/>
    <col min="3588" max="3840" width="11.42578125" style="202"/>
    <col min="3841" max="3841" width="4.42578125" style="202" customWidth="1"/>
    <col min="3842" max="3842" width="26.85546875" style="202" customWidth="1"/>
    <col min="3843" max="3843" width="4.85546875" style="202" customWidth="1"/>
    <col min="3844" max="4096" width="11.42578125" style="202"/>
    <col min="4097" max="4097" width="4.42578125" style="202" customWidth="1"/>
    <col min="4098" max="4098" width="26.85546875" style="202" customWidth="1"/>
    <col min="4099" max="4099" width="4.85546875" style="202" customWidth="1"/>
    <col min="4100" max="4352" width="11.42578125" style="202"/>
    <col min="4353" max="4353" width="4.42578125" style="202" customWidth="1"/>
    <col min="4354" max="4354" width="26.85546875" style="202" customWidth="1"/>
    <col min="4355" max="4355" width="4.85546875" style="202" customWidth="1"/>
    <col min="4356" max="4608" width="11.42578125" style="202"/>
    <col min="4609" max="4609" width="4.42578125" style="202" customWidth="1"/>
    <col min="4610" max="4610" width="26.85546875" style="202" customWidth="1"/>
    <col min="4611" max="4611" width="4.85546875" style="202" customWidth="1"/>
    <col min="4612" max="4864" width="11.42578125" style="202"/>
    <col min="4865" max="4865" width="4.42578125" style="202" customWidth="1"/>
    <col min="4866" max="4866" width="26.85546875" style="202" customWidth="1"/>
    <col min="4867" max="4867" width="4.85546875" style="202" customWidth="1"/>
    <col min="4868" max="5120" width="11.42578125" style="202"/>
    <col min="5121" max="5121" width="4.42578125" style="202" customWidth="1"/>
    <col min="5122" max="5122" width="26.85546875" style="202" customWidth="1"/>
    <col min="5123" max="5123" width="4.85546875" style="202" customWidth="1"/>
    <col min="5124" max="5376" width="11.42578125" style="202"/>
    <col min="5377" max="5377" width="4.42578125" style="202" customWidth="1"/>
    <col min="5378" max="5378" width="26.85546875" style="202" customWidth="1"/>
    <col min="5379" max="5379" width="4.85546875" style="202" customWidth="1"/>
    <col min="5380" max="5632" width="11.42578125" style="202"/>
    <col min="5633" max="5633" width="4.42578125" style="202" customWidth="1"/>
    <col min="5634" max="5634" width="26.85546875" style="202" customWidth="1"/>
    <col min="5635" max="5635" width="4.85546875" style="202" customWidth="1"/>
    <col min="5636" max="5888" width="11.42578125" style="202"/>
    <col min="5889" max="5889" width="4.42578125" style="202" customWidth="1"/>
    <col min="5890" max="5890" width="26.85546875" style="202" customWidth="1"/>
    <col min="5891" max="5891" width="4.85546875" style="202" customWidth="1"/>
    <col min="5892" max="6144" width="11.42578125" style="202"/>
    <col min="6145" max="6145" width="4.42578125" style="202" customWidth="1"/>
    <col min="6146" max="6146" width="26.85546875" style="202" customWidth="1"/>
    <col min="6147" max="6147" width="4.85546875" style="202" customWidth="1"/>
    <col min="6148" max="6400" width="11.42578125" style="202"/>
    <col min="6401" max="6401" width="4.42578125" style="202" customWidth="1"/>
    <col min="6402" max="6402" width="26.85546875" style="202" customWidth="1"/>
    <col min="6403" max="6403" width="4.85546875" style="202" customWidth="1"/>
    <col min="6404" max="6656" width="11.42578125" style="202"/>
    <col min="6657" max="6657" width="4.42578125" style="202" customWidth="1"/>
    <col min="6658" max="6658" width="26.85546875" style="202" customWidth="1"/>
    <col min="6659" max="6659" width="4.85546875" style="202" customWidth="1"/>
    <col min="6660" max="6912" width="11.42578125" style="202"/>
    <col min="6913" max="6913" width="4.42578125" style="202" customWidth="1"/>
    <col min="6914" max="6914" width="26.85546875" style="202" customWidth="1"/>
    <col min="6915" max="6915" width="4.85546875" style="202" customWidth="1"/>
    <col min="6916" max="7168" width="11.42578125" style="202"/>
    <col min="7169" max="7169" width="4.42578125" style="202" customWidth="1"/>
    <col min="7170" max="7170" width="26.85546875" style="202" customWidth="1"/>
    <col min="7171" max="7171" width="4.85546875" style="202" customWidth="1"/>
    <col min="7172" max="7424" width="11.42578125" style="202"/>
    <col min="7425" max="7425" width="4.42578125" style="202" customWidth="1"/>
    <col min="7426" max="7426" width="26.85546875" style="202" customWidth="1"/>
    <col min="7427" max="7427" width="4.85546875" style="202" customWidth="1"/>
    <col min="7428" max="7680" width="11.42578125" style="202"/>
    <col min="7681" max="7681" width="4.42578125" style="202" customWidth="1"/>
    <col min="7682" max="7682" width="26.85546875" style="202" customWidth="1"/>
    <col min="7683" max="7683" width="4.85546875" style="202" customWidth="1"/>
    <col min="7684" max="7936" width="11.42578125" style="202"/>
    <col min="7937" max="7937" width="4.42578125" style="202" customWidth="1"/>
    <col min="7938" max="7938" width="26.85546875" style="202" customWidth="1"/>
    <col min="7939" max="7939" width="4.85546875" style="202" customWidth="1"/>
    <col min="7940" max="8192" width="11.42578125" style="202"/>
    <col min="8193" max="8193" width="4.42578125" style="202" customWidth="1"/>
    <col min="8194" max="8194" width="26.85546875" style="202" customWidth="1"/>
    <col min="8195" max="8195" width="4.85546875" style="202" customWidth="1"/>
    <col min="8196" max="8448" width="11.42578125" style="202"/>
    <col min="8449" max="8449" width="4.42578125" style="202" customWidth="1"/>
    <col min="8450" max="8450" width="26.85546875" style="202" customWidth="1"/>
    <col min="8451" max="8451" width="4.85546875" style="202" customWidth="1"/>
    <col min="8452" max="8704" width="11.42578125" style="202"/>
    <col min="8705" max="8705" width="4.42578125" style="202" customWidth="1"/>
    <col min="8706" max="8706" width="26.85546875" style="202" customWidth="1"/>
    <col min="8707" max="8707" width="4.85546875" style="202" customWidth="1"/>
    <col min="8708" max="8960" width="11.42578125" style="202"/>
    <col min="8961" max="8961" width="4.42578125" style="202" customWidth="1"/>
    <col min="8962" max="8962" width="26.85546875" style="202" customWidth="1"/>
    <col min="8963" max="8963" width="4.85546875" style="202" customWidth="1"/>
    <col min="8964" max="9216" width="11.42578125" style="202"/>
    <col min="9217" max="9217" width="4.42578125" style="202" customWidth="1"/>
    <col min="9218" max="9218" width="26.85546875" style="202" customWidth="1"/>
    <col min="9219" max="9219" width="4.85546875" style="202" customWidth="1"/>
    <col min="9220" max="9472" width="11.42578125" style="202"/>
    <col min="9473" max="9473" width="4.42578125" style="202" customWidth="1"/>
    <col min="9474" max="9474" width="26.85546875" style="202" customWidth="1"/>
    <col min="9475" max="9475" width="4.85546875" style="202" customWidth="1"/>
    <col min="9476" max="9728" width="11.42578125" style="202"/>
    <col min="9729" max="9729" width="4.42578125" style="202" customWidth="1"/>
    <col min="9730" max="9730" width="26.85546875" style="202" customWidth="1"/>
    <col min="9731" max="9731" width="4.85546875" style="202" customWidth="1"/>
    <col min="9732" max="9984" width="11.42578125" style="202"/>
    <col min="9985" max="9985" width="4.42578125" style="202" customWidth="1"/>
    <col min="9986" max="9986" width="26.85546875" style="202" customWidth="1"/>
    <col min="9987" max="9987" width="4.85546875" style="202" customWidth="1"/>
    <col min="9988" max="10240" width="11.42578125" style="202"/>
    <col min="10241" max="10241" width="4.42578125" style="202" customWidth="1"/>
    <col min="10242" max="10242" width="26.85546875" style="202" customWidth="1"/>
    <col min="10243" max="10243" width="4.85546875" style="202" customWidth="1"/>
    <col min="10244" max="10496" width="11.42578125" style="202"/>
    <col min="10497" max="10497" width="4.42578125" style="202" customWidth="1"/>
    <col min="10498" max="10498" width="26.85546875" style="202" customWidth="1"/>
    <col min="10499" max="10499" width="4.85546875" style="202" customWidth="1"/>
    <col min="10500" max="10752" width="11.42578125" style="202"/>
    <col min="10753" max="10753" width="4.42578125" style="202" customWidth="1"/>
    <col min="10754" max="10754" width="26.85546875" style="202" customWidth="1"/>
    <col min="10755" max="10755" width="4.85546875" style="202" customWidth="1"/>
    <col min="10756" max="11008" width="11.42578125" style="202"/>
    <col min="11009" max="11009" width="4.42578125" style="202" customWidth="1"/>
    <col min="11010" max="11010" width="26.85546875" style="202" customWidth="1"/>
    <col min="11011" max="11011" width="4.85546875" style="202" customWidth="1"/>
    <col min="11012" max="11264" width="11.42578125" style="202"/>
    <col min="11265" max="11265" width="4.42578125" style="202" customWidth="1"/>
    <col min="11266" max="11266" width="26.85546875" style="202" customWidth="1"/>
    <col min="11267" max="11267" width="4.85546875" style="202" customWidth="1"/>
    <col min="11268" max="11520" width="11.42578125" style="202"/>
    <col min="11521" max="11521" width="4.42578125" style="202" customWidth="1"/>
    <col min="11522" max="11522" width="26.85546875" style="202" customWidth="1"/>
    <col min="11523" max="11523" width="4.85546875" style="202" customWidth="1"/>
    <col min="11524" max="11776" width="11.42578125" style="202"/>
    <col min="11777" max="11777" width="4.42578125" style="202" customWidth="1"/>
    <col min="11778" max="11778" width="26.85546875" style="202" customWidth="1"/>
    <col min="11779" max="11779" width="4.85546875" style="202" customWidth="1"/>
    <col min="11780" max="12032" width="11.42578125" style="202"/>
    <col min="12033" max="12033" width="4.42578125" style="202" customWidth="1"/>
    <col min="12034" max="12034" width="26.85546875" style="202" customWidth="1"/>
    <col min="12035" max="12035" width="4.85546875" style="202" customWidth="1"/>
    <col min="12036" max="12288" width="11.42578125" style="202"/>
    <col min="12289" max="12289" width="4.42578125" style="202" customWidth="1"/>
    <col min="12290" max="12290" width="26.85546875" style="202" customWidth="1"/>
    <col min="12291" max="12291" width="4.85546875" style="202" customWidth="1"/>
    <col min="12292" max="12544" width="11.42578125" style="202"/>
    <col min="12545" max="12545" width="4.42578125" style="202" customWidth="1"/>
    <col min="12546" max="12546" width="26.85546875" style="202" customWidth="1"/>
    <col min="12547" max="12547" width="4.85546875" style="202" customWidth="1"/>
    <col min="12548" max="12800" width="11.42578125" style="202"/>
    <col min="12801" max="12801" width="4.42578125" style="202" customWidth="1"/>
    <col min="12802" max="12802" width="26.85546875" style="202" customWidth="1"/>
    <col min="12803" max="12803" width="4.85546875" style="202" customWidth="1"/>
    <col min="12804" max="13056" width="11.42578125" style="202"/>
    <col min="13057" max="13057" width="4.42578125" style="202" customWidth="1"/>
    <col min="13058" max="13058" width="26.85546875" style="202" customWidth="1"/>
    <col min="13059" max="13059" width="4.85546875" style="202" customWidth="1"/>
    <col min="13060" max="13312" width="11.42578125" style="202"/>
    <col min="13313" max="13313" width="4.42578125" style="202" customWidth="1"/>
    <col min="13314" max="13314" width="26.85546875" style="202" customWidth="1"/>
    <col min="13315" max="13315" width="4.85546875" style="202" customWidth="1"/>
    <col min="13316" max="13568" width="11.42578125" style="202"/>
    <col min="13569" max="13569" width="4.42578125" style="202" customWidth="1"/>
    <col min="13570" max="13570" width="26.85546875" style="202" customWidth="1"/>
    <col min="13571" max="13571" width="4.85546875" style="202" customWidth="1"/>
    <col min="13572" max="13824" width="11.42578125" style="202"/>
    <col min="13825" max="13825" width="4.42578125" style="202" customWidth="1"/>
    <col min="13826" max="13826" width="26.85546875" style="202" customWidth="1"/>
    <col min="13827" max="13827" width="4.85546875" style="202" customWidth="1"/>
    <col min="13828" max="14080" width="11.42578125" style="202"/>
    <col min="14081" max="14081" width="4.42578125" style="202" customWidth="1"/>
    <col min="14082" max="14082" width="26.85546875" style="202" customWidth="1"/>
    <col min="14083" max="14083" width="4.85546875" style="202" customWidth="1"/>
    <col min="14084" max="14336" width="11.42578125" style="202"/>
    <col min="14337" max="14337" width="4.42578125" style="202" customWidth="1"/>
    <col min="14338" max="14338" width="26.85546875" style="202" customWidth="1"/>
    <col min="14339" max="14339" width="4.85546875" style="202" customWidth="1"/>
    <col min="14340" max="14592" width="11.42578125" style="202"/>
    <col min="14593" max="14593" width="4.42578125" style="202" customWidth="1"/>
    <col min="14594" max="14594" width="26.85546875" style="202" customWidth="1"/>
    <col min="14595" max="14595" width="4.85546875" style="202" customWidth="1"/>
    <col min="14596" max="14848" width="11.42578125" style="202"/>
    <col min="14849" max="14849" width="4.42578125" style="202" customWidth="1"/>
    <col min="14850" max="14850" width="26.85546875" style="202" customWidth="1"/>
    <col min="14851" max="14851" width="4.85546875" style="202" customWidth="1"/>
    <col min="14852" max="15104" width="11.42578125" style="202"/>
    <col min="15105" max="15105" width="4.42578125" style="202" customWidth="1"/>
    <col min="15106" max="15106" width="26.85546875" style="202" customWidth="1"/>
    <col min="15107" max="15107" width="4.85546875" style="202" customWidth="1"/>
    <col min="15108" max="15360" width="11.42578125" style="202"/>
    <col min="15361" max="15361" width="4.42578125" style="202" customWidth="1"/>
    <col min="15362" max="15362" width="26.85546875" style="202" customWidth="1"/>
    <col min="15363" max="15363" width="4.85546875" style="202" customWidth="1"/>
    <col min="15364" max="15616" width="11.42578125" style="202"/>
    <col min="15617" max="15617" width="4.42578125" style="202" customWidth="1"/>
    <col min="15618" max="15618" width="26.85546875" style="202" customWidth="1"/>
    <col min="15619" max="15619" width="4.85546875" style="202" customWidth="1"/>
    <col min="15620" max="15872" width="11.42578125" style="202"/>
    <col min="15873" max="15873" width="4.42578125" style="202" customWidth="1"/>
    <col min="15874" max="15874" width="26.85546875" style="202" customWidth="1"/>
    <col min="15875" max="15875" width="4.85546875" style="202" customWidth="1"/>
    <col min="15876" max="16128" width="11.42578125" style="202"/>
    <col min="16129" max="16129" width="4.42578125" style="202" customWidth="1"/>
    <col min="16130" max="16130" width="26.85546875" style="202" customWidth="1"/>
    <col min="16131" max="16131" width="4.85546875" style="202" customWidth="1"/>
    <col min="16132" max="16384" width="11.42578125" style="202"/>
  </cols>
  <sheetData>
    <row r="2" spans="2:8" x14ac:dyDescent="0.25">
      <c r="B2" s="202" t="s">
        <v>689</v>
      </c>
    </row>
    <row r="3" spans="2:8" x14ac:dyDescent="0.25">
      <c r="B3" s="202" t="s">
        <v>1279</v>
      </c>
    </row>
    <row r="4" spans="2:8" x14ac:dyDescent="0.25">
      <c r="B4" s="202" t="s">
        <v>690</v>
      </c>
    </row>
    <row r="6" spans="2:8" ht="15.75" thickBot="1" x14ac:dyDescent="0.3">
      <c r="B6" s="202" t="s">
        <v>123</v>
      </c>
    </row>
    <row r="7" spans="2:8" x14ac:dyDescent="0.25">
      <c r="B7" s="203" t="s">
        <v>691</v>
      </c>
      <c r="C7" s="204"/>
      <c r="D7" s="204"/>
      <c r="E7" s="204"/>
      <c r="F7" s="204"/>
      <c r="G7" s="204"/>
      <c r="H7" s="205"/>
    </row>
    <row r="8" spans="2:8" x14ac:dyDescent="0.25">
      <c r="B8" s="206" t="s">
        <v>226</v>
      </c>
      <c r="C8" s="207"/>
      <c r="D8" s="208">
        <v>1999</v>
      </c>
      <c r="E8" s="208">
        <v>2000</v>
      </c>
      <c r="F8" s="209">
        <v>2001</v>
      </c>
      <c r="G8" s="209">
        <v>2002</v>
      </c>
      <c r="H8" s="210" t="s">
        <v>124</v>
      </c>
    </row>
    <row r="9" spans="2:8" x14ac:dyDescent="0.25">
      <c r="B9" s="211" t="s">
        <v>125</v>
      </c>
      <c r="C9" s="207"/>
      <c r="D9" s="212">
        <v>271150</v>
      </c>
      <c r="E9" s="212">
        <v>319572</v>
      </c>
      <c r="F9" s="213">
        <v>275420</v>
      </c>
      <c r="G9" s="213">
        <v>210854</v>
      </c>
      <c r="H9" s="214">
        <v>213076</v>
      </c>
    </row>
    <row r="10" spans="2:8" ht="15.75" thickBot="1" x14ac:dyDescent="0.3">
      <c r="B10" s="211"/>
      <c r="C10" s="207"/>
      <c r="D10" s="215"/>
      <c r="E10" s="215"/>
      <c r="F10" s="216"/>
      <c r="G10" s="216"/>
      <c r="H10" s="217"/>
    </row>
    <row r="11" spans="2:8" x14ac:dyDescent="0.25">
      <c r="B11" s="203" t="s">
        <v>126</v>
      </c>
      <c r="C11" s="204" t="s">
        <v>127</v>
      </c>
      <c r="D11" s="218">
        <v>5</v>
      </c>
      <c r="E11" s="218">
        <v>5.0999999999999996</v>
      </c>
      <c r="F11" s="219">
        <v>5.2</v>
      </c>
      <c r="G11" s="219">
        <v>5.3</v>
      </c>
      <c r="H11" s="220">
        <v>5.4</v>
      </c>
    </row>
    <row r="12" spans="2:8" x14ac:dyDescent="0.25">
      <c r="B12" s="211" t="s">
        <v>128</v>
      </c>
      <c r="C12" s="207" t="s">
        <v>127</v>
      </c>
      <c r="D12" s="215">
        <v>1</v>
      </c>
      <c r="E12" s="215">
        <v>1.02</v>
      </c>
      <c r="F12" s="216">
        <v>0.99</v>
      </c>
      <c r="G12" s="216">
        <v>1</v>
      </c>
      <c r="H12" s="217">
        <v>1.03</v>
      </c>
    </row>
    <row r="13" spans="2:8" ht="15.75" thickBot="1" x14ac:dyDescent="0.3">
      <c r="B13" s="221" t="s">
        <v>129</v>
      </c>
      <c r="C13" s="222" t="s">
        <v>127</v>
      </c>
      <c r="D13" s="223">
        <f>+D11-D12</f>
        <v>4</v>
      </c>
      <c r="E13" s="223">
        <f>+E11-E12</f>
        <v>4.08</v>
      </c>
      <c r="F13" s="224">
        <f>+F11-F12</f>
        <v>4.21</v>
      </c>
      <c r="G13" s="224">
        <f>+G11-G12</f>
        <v>4.3</v>
      </c>
      <c r="H13" s="225">
        <f>+H11-H12</f>
        <v>4.37</v>
      </c>
    </row>
    <row r="14" spans="2:8" ht="15.75" thickBot="1" x14ac:dyDescent="0.3">
      <c r="B14" s="211"/>
      <c r="C14" s="207"/>
      <c r="D14" s="215"/>
      <c r="E14" s="215"/>
      <c r="F14" s="216"/>
      <c r="G14" s="216"/>
      <c r="H14" s="217"/>
    </row>
    <row r="15" spans="2:8" x14ac:dyDescent="0.25">
      <c r="B15" s="203" t="s">
        <v>130</v>
      </c>
      <c r="C15" s="204" t="s">
        <v>131</v>
      </c>
      <c r="D15" s="218">
        <f>+D9*D11</f>
        <v>1355750</v>
      </c>
      <c r="E15" s="218">
        <f>+E9*E11</f>
        <v>1629817.2</v>
      </c>
      <c r="F15" s="219">
        <f>+F9*F11</f>
        <v>1432184</v>
      </c>
      <c r="G15" s="219">
        <f>+G9*G11</f>
        <v>1117526.2</v>
      </c>
      <c r="H15" s="220">
        <f>+H9*H11</f>
        <v>1150610.4000000001</v>
      </c>
    </row>
    <row r="16" spans="2:8" x14ac:dyDescent="0.25">
      <c r="B16" s="211" t="s">
        <v>128</v>
      </c>
      <c r="C16" s="207" t="s">
        <v>131</v>
      </c>
      <c r="D16" s="215">
        <f>+D12*D9</f>
        <v>271150</v>
      </c>
      <c r="E16" s="215">
        <f>+E12*E9</f>
        <v>325963.44</v>
      </c>
      <c r="F16" s="216">
        <f>+F12*F9</f>
        <v>272665.8</v>
      </c>
      <c r="G16" s="216">
        <f>+G12*G9</f>
        <v>210854</v>
      </c>
      <c r="H16" s="217">
        <f>+H12*H9</f>
        <v>219468.28</v>
      </c>
    </row>
    <row r="17" spans="2:10" ht="15.75" thickBot="1" x14ac:dyDescent="0.3">
      <c r="B17" s="221" t="s">
        <v>129</v>
      </c>
      <c r="C17" s="222" t="s">
        <v>131</v>
      </c>
      <c r="D17" s="223">
        <f>+D15-D16</f>
        <v>1084600</v>
      </c>
      <c r="E17" s="223">
        <f>+E15-E16</f>
        <v>1303853.76</v>
      </c>
      <c r="F17" s="224">
        <f>+F15-F16</f>
        <v>1159518.2</v>
      </c>
      <c r="G17" s="224">
        <f>+G15-G16</f>
        <v>906672.2</v>
      </c>
      <c r="H17" s="225">
        <f>+H15-H16</f>
        <v>931142.12000000011</v>
      </c>
    </row>
    <row r="18" spans="2:10" x14ac:dyDescent="0.25">
      <c r="B18" s="203"/>
      <c r="C18" s="204"/>
      <c r="D18" s="218"/>
      <c r="E18" s="218"/>
      <c r="F18" s="219"/>
      <c r="G18" s="219"/>
      <c r="H18" s="220"/>
    </row>
    <row r="19" spans="2:10" x14ac:dyDescent="0.25">
      <c r="B19" s="211" t="s">
        <v>202</v>
      </c>
      <c r="C19" s="207"/>
      <c r="D19" s="226"/>
      <c r="E19" s="226"/>
      <c r="F19" s="216">
        <f>+$E$17-F17</f>
        <v>144335.56000000006</v>
      </c>
      <c r="G19" s="216">
        <f>+$E$17-G17</f>
        <v>397181.56000000006</v>
      </c>
      <c r="H19" s="217">
        <f>+$E$17-H17</f>
        <v>372711.6399999999</v>
      </c>
    </row>
    <row r="20" spans="2:10" ht="15.75" thickBot="1" x14ac:dyDescent="0.3">
      <c r="B20" s="221" t="s">
        <v>132</v>
      </c>
      <c r="C20" s="222"/>
      <c r="D20" s="227"/>
      <c r="E20" s="227"/>
      <c r="F20" s="224">
        <f>+F19</f>
        <v>144335.56000000006</v>
      </c>
      <c r="G20" s="224">
        <f>+G19+F20</f>
        <v>541517.12000000011</v>
      </c>
      <c r="H20" s="225">
        <f>+G20+H19</f>
        <v>914228.76</v>
      </c>
    </row>
    <row r="21" spans="2:10" x14ac:dyDescent="0.25">
      <c r="B21" s="211" t="s">
        <v>133</v>
      </c>
      <c r="C21" s="207"/>
      <c r="D21" s="226"/>
      <c r="E21" s="226"/>
      <c r="F21" s="207"/>
      <c r="G21" s="207"/>
      <c r="H21" s="228"/>
    </row>
    <row r="22" spans="2:10" ht="15.75" thickBot="1" x14ac:dyDescent="0.3">
      <c r="B22" s="221" t="s">
        <v>134</v>
      </c>
      <c r="C22" s="222"/>
      <c r="D22" s="227"/>
      <c r="E22" s="227"/>
      <c r="F22" s="229">
        <f>+$E$9-F9</f>
        <v>44152</v>
      </c>
      <c r="G22" s="229">
        <f>+$E$9-G9</f>
        <v>108718</v>
      </c>
      <c r="H22" s="230">
        <f>+$E$9-H9</f>
        <v>106496</v>
      </c>
    </row>
    <row r="23" spans="2:10" ht="15.75" thickBot="1" x14ac:dyDescent="0.3">
      <c r="F23" s="231"/>
      <c r="G23" s="231"/>
      <c r="H23" s="231"/>
    </row>
    <row r="24" spans="2:10" x14ac:dyDescent="0.25">
      <c r="B24" s="232" t="s">
        <v>692</v>
      </c>
      <c r="C24" s="233"/>
      <c r="D24" s="233"/>
      <c r="E24" s="233"/>
      <c r="F24" s="234">
        <v>2001</v>
      </c>
      <c r="G24" s="234">
        <v>2002</v>
      </c>
      <c r="H24" s="235">
        <v>2003</v>
      </c>
      <c r="I24" s="234">
        <v>2004</v>
      </c>
      <c r="J24" s="236">
        <v>2005</v>
      </c>
    </row>
    <row r="25" spans="2:10" x14ac:dyDescent="0.25">
      <c r="B25" s="237" t="s">
        <v>227</v>
      </c>
      <c r="C25" s="238"/>
      <c r="D25" s="238"/>
      <c r="E25" s="238"/>
      <c r="F25" s="239"/>
      <c r="G25" s="239"/>
      <c r="H25" s="240"/>
      <c r="I25" s="239"/>
      <c r="J25" s="241"/>
    </row>
    <row r="26" spans="2:10" x14ac:dyDescent="0.25">
      <c r="B26" s="242" t="s">
        <v>125</v>
      </c>
      <c r="C26" s="238"/>
      <c r="D26" s="238"/>
      <c r="E26" s="238"/>
      <c r="F26" s="243">
        <v>53453</v>
      </c>
      <c r="G26" s="243">
        <v>123456</v>
      </c>
      <c r="H26" s="243">
        <v>125023</v>
      </c>
      <c r="I26" s="243">
        <v>145233</v>
      </c>
      <c r="J26" s="244">
        <v>151326</v>
      </c>
    </row>
    <row r="27" spans="2:10" ht="15.75" thickBot="1" x14ac:dyDescent="0.3">
      <c r="B27" s="242"/>
      <c r="C27" s="238"/>
      <c r="D27" s="238"/>
      <c r="E27" s="238"/>
      <c r="F27" s="245"/>
      <c r="G27" s="245"/>
      <c r="H27" s="245"/>
      <c r="I27" s="245"/>
      <c r="J27" s="246"/>
    </row>
    <row r="28" spans="2:10" x14ac:dyDescent="0.25">
      <c r="B28" s="232" t="s">
        <v>126</v>
      </c>
      <c r="C28" s="233" t="s">
        <v>127</v>
      </c>
      <c r="D28" s="233"/>
      <c r="E28" s="233"/>
      <c r="F28" s="247">
        <v>4.5</v>
      </c>
      <c r="G28" s="247">
        <v>4.55</v>
      </c>
      <c r="H28" s="247">
        <v>4.55</v>
      </c>
      <c r="I28" s="247">
        <v>4.2</v>
      </c>
      <c r="J28" s="248">
        <v>4</v>
      </c>
    </row>
    <row r="29" spans="2:10" x14ac:dyDescent="0.25">
      <c r="B29" s="242" t="s">
        <v>128</v>
      </c>
      <c r="C29" s="238" t="s">
        <v>127</v>
      </c>
      <c r="D29" s="238"/>
      <c r="E29" s="238"/>
      <c r="F29" s="245">
        <v>1</v>
      </c>
      <c r="G29" s="245">
        <v>1.02</v>
      </c>
      <c r="H29" s="245">
        <v>0.99</v>
      </c>
      <c r="I29" s="245">
        <v>1</v>
      </c>
      <c r="J29" s="246">
        <v>1.03</v>
      </c>
    </row>
    <row r="30" spans="2:10" ht="15.75" thickBot="1" x14ac:dyDescent="0.3">
      <c r="B30" s="249" t="s">
        <v>129</v>
      </c>
      <c r="C30" s="250" t="s">
        <v>127</v>
      </c>
      <c r="D30" s="250"/>
      <c r="E30" s="250"/>
      <c r="F30" s="251">
        <f>+F28-F29</f>
        <v>3.5</v>
      </c>
      <c r="G30" s="251">
        <f>+G28-G29</f>
        <v>3.53</v>
      </c>
      <c r="H30" s="251">
        <f>+H28-H29</f>
        <v>3.5599999999999996</v>
      </c>
      <c r="I30" s="251">
        <f>+I28-I29</f>
        <v>3.2</v>
      </c>
      <c r="J30" s="252">
        <f>+J28-J29</f>
        <v>2.9699999999999998</v>
      </c>
    </row>
    <row r="31" spans="2:10" ht="15.75" thickBot="1" x14ac:dyDescent="0.3">
      <c r="B31" s="242"/>
      <c r="C31" s="238"/>
      <c r="D31" s="238"/>
      <c r="E31" s="238"/>
      <c r="F31" s="245"/>
      <c r="G31" s="245"/>
      <c r="H31" s="245"/>
      <c r="I31" s="245"/>
      <c r="J31" s="246"/>
    </row>
    <row r="32" spans="2:10" x14ac:dyDescent="0.25">
      <c r="B32" s="232" t="s">
        <v>130</v>
      </c>
      <c r="C32" s="233" t="s">
        <v>131</v>
      </c>
      <c r="D32" s="233"/>
      <c r="E32" s="233"/>
      <c r="F32" s="247">
        <f>+F26*F28</f>
        <v>240538.5</v>
      </c>
      <c r="G32" s="247">
        <f>+G26*G28</f>
        <v>561724.79999999993</v>
      </c>
      <c r="H32" s="247">
        <f>+H26*H28</f>
        <v>568854.65</v>
      </c>
      <c r="I32" s="247">
        <f>+I26*I28</f>
        <v>609978.6</v>
      </c>
      <c r="J32" s="248">
        <f>+J26*J28</f>
        <v>605304</v>
      </c>
    </row>
    <row r="33" spans="2:10" x14ac:dyDescent="0.25">
      <c r="B33" s="242" t="s">
        <v>128</v>
      </c>
      <c r="C33" s="238" t="s">
        <v>131</v>
      </c>
      <c r="D33" s="238"/>
      <c r="E33" s="238"/>
      <c r="F33" s="245">
        <f>+F29*F26</f>
        <v>53453</v>
      </c>
      <c r="G33" s="245">
        <f>+G29*G26</f>
        <v>125925.12</v>
      </c>
      <c r="H33" s="245">
        <f>+H29*H26</f>
        <v>123772.77</v>
      </c>
      <c r="I33" s="245">
        <f>+I29*I26</f>
        <v>145233</v>
      </c>
      <c r="J33" s="246">
        <f>+J29*J26</f>
        <v>155865.78</v>
      </c>
    </row>
    <row r="34" spans="2:10" ht="15.75" thickBot="1" x14ac:dyDescent="0.3">
      <c r="B34" s="249" t="s">
        <v>129</v>
      </c>
      <c r="C34" s="250" t="s">
        <v>131</v>
      </c>
      <c r="D34" s="250"/>
      <c r="E34" s="250"/>
      <c r="F34" s="251">
        <f>+F32-F33</f>
        <v>187085.5</v>
      </c>
      <c r="G34" s="251">
        <f>+G32-G33</f>
        <v>435799.67999999993</v>
      </c>
      <c r="H34" s="251">
        <f>+H32-H33</f>
        <v>445081.88</v>
      </c>
      <c r="I34" s="251">
        <f>+I32-I33</f>
        <v>464745.6</v>
      </c>
      <c r="J34" s="252">
        <f>+J32-J33</f>
        <v>449438.22</v>
      </c>
    </row>
    <row r="35" spans="2:10" ht="15.75" thickBot="1" x14ac:dyDescent="0.3"/>
    <row r="36" spans="2:10" x14ac:dyDescent="0.25">
      <c r="B36" s="253" t="s">
        <v>135</v>
      </c>
      <c r="C36" s="254"/>
      <c r="D36" s="254"/>
      <c r="E36" s="254"/>
      <c r="F36" s="254">
        <v>2001</v>
      </c>
      <c r="G36" s="254">
        <v>2002</v>
      </c>
      <c r="H36" s="255">
        <v>2003</v>
      </c>
      <c r="I36" s="254">
        <v>2004</v>
      </c>
      <c r="J36" s="256">
        <v>2005</v>
      </c>
    </row>
    <row r="37" spans="2:10" x14ac:dyDescent="0.25">
      <c r="B37" s="211" t="s">
        <v>125</v>
      </c>
      <c r="C37" s="207"/>
      <c r="D37" s="207" t="s">
        <v>693</v>
      </c>
      <c r="E37" s="207"/>
      <c r="F37" s="243">
        <v>53453</v>
      </c>
      <c r="G37" s="243">
        <v>123456</v>
      </c>
      <c r="H37" s="243">
        <v>125023</v>
      </c>
      <c r="I37" s="243">
        <v>145233</v>
      </c>
      <c r="J37" s="244">
        <v>151326</v>
      </c>
    </row>
    <row r="38" spans="2:10" ht="15.75" thickBot="1" x14ac:dyDescent="0.3">
      <c r="B38" s="211"/>
      <c r="C38" s="207"/>
      <c r="D38" s="207"/>
      <c r="E38" s="207"/>
      <c r="F38" s="216"/>
      <c r="G38" s="216"/>
      <c r="H38" s="216"/>
      <c r="I38" s="216"/>
      <c r="J38" s="217"/>
    </row>
    <row r="39" spans="2:10" x14ac:dyDescent="0.25">
      <c r="B39" s="203" t="s">
        <v>126</v>
      </c>
      <c r="C39" s="204" t="s">
        <v>127</v>
      </c>
      <c r="D39" s="204" t="s">
        <v>694</v>
      </c>
      <c r="E39" s="204"/>
      <c r="F39" s="219">
        <f t="shared" ref="F39:H40" si="0">+F11</f>
        <v>5.2</v>
      </c>
      <c r="G39" s="219">
        <f t="shared" si="0"/>
        <v>5.3</v>
      </c>
      <c r="H39" s="219">
        <f t="shared" si="0"/>
        <v>5.4</v>
      </c>
      <c r="I39" s="219">
        <v>5.4</v>
      </c>
      <c r="J39" s="220">
        <v>5.4</v>
      </c>
    </row>
    <row r="40" spans="2:10" x14ac:dyDescent="0.25">
      <c r="B40" s="211" t="s">
        <v>128</v>
      </c>
      <c r="C40" s="207" t="s">
        <v>127</v>
      </c>
      <c r="D40" s="207" t="s">
        <v>695</v>
      </c>
      <c r="E40" s="207"/>
      <c r="F40" s="216">
        <f t="shared" si="0"/>
        <v>0.99</v>
      </c>
      <c r="G40" s="216">
        <f t="shared" si="0"/>
        <v>1</v>
      </c>
      <c r="H40" s="216">
        <f t="shared" si="0"/>
        <v>1.03</v>
      </c>
      <c r="I40" s="216">
        <v>1.03</v>
      </c>
      <c r="J40" s="217">
        <v>1.03</v>
      </c>
    </row>
    <row r="41" spans="2:10" ht="15.75" thickBot="1" x14ac:dyDescent="0.3">
      <c r="B41" s="221" t="s">
        <v>129</v>
      </c>
      <c r="C41" s="222" t="s">
        <v>127</v>
      </c>
      <c r="D41" s="222" t="s">
        <v>696</v>
      </c>
      <c r="E41" s="222"/>
      <c r="F41" s="224">
        <f>+F39-F40</f>
        <v>4.21</v>
      </c>
      <c r="G41" s="224">
        <f>+G39-G40</f>
        <v>4.3</v>
      </c>
      <c r="H41" s="224">
        <f>+H39-H40</f>
        <v>4.37</v>
      </c>
      <c r="I41" s="224">
        <f>+I39-I40</f>
        <v>4.37</v>
      </c>
      <c r="J41" s="225">
        <f>+J39-J40</f>
        <v>4.37</v>
      </c>
    </row>
    <row r="42" spans="2:10" ht="15.75" thickBot="1" x14ac:dyDescent="0.3">
      <c r="B42" s="211"/>
      <c r="C42" s="207"/>
      <c r="D42" s="207"/>
      <c r="E42" s="207"/>
      <c r="F42" s="216"/>
      <c r="G42" s="216"/>
      <c r="H42" s="216"/>
      <c r="I42" s="216"/>
      <c r="J42" s="217"/>
    </row>
    <row r="43" spans="2:10" x14ac:dyDescent="0.25">
      <c r="B43" s="203" t="s">
        <v>130</v>
      </c>
      <c r="C43" s="204" t="s">
        <v>131</v>
      </c>
      <c r="D43" s="204" t="s">
        <v>228</v>
      </c>
      <c r="E43" s="204"/>
      <c r="F43" s="219">
        <f>+F37*F39</f>
        <v>277955.60000000003</v>
      </c>
      <c r="G43" s="219">
        <f>+G37*G39</f>
        <v>654316.79999999993</v>
      </c>
      <c r="H43" s="219">
        <f>+H37*H39</f>
        <v>675124.20000000007</v>
      </c>
      <c r="I43" s="219">
        <f>+I37*I39</f>
        <v>784258.20000000007</v>
      </c>
      <c r="J43" s="220">
        <f>+J37*J39</f>
        <v>817160.4</v>
      </c>
    </row>
    <row r="44" spans="2:10" x14ac:dyDescent="0.25">
      <c r="B44" s="211" t="s">
        <v>128</v>
      </c>
      <c r="C44" s="207" t="s">
        <v>131</v>
      </c>
      <c r="D44" s="207" t="s">
        <v>228</v>
      </c>
      <c r="E44" s="207"/>
      <c r="F44" s="216">
        <f>+F40*F37</f>
        <v>52918.47</v>
      </c>
      <c r="G44" s="216">
        <f>+G40*G37</f>
        <v>123456</v>
      </c>
      <c r="H44" s="216">
        <f>+H40*H37</f>
        <v>128773.69</v>
      </c>
      <c r="I44" s="216">
        <f>+I40*I37</f>
        <v>149589.99</v>
      </c>
      <c r="J44" s="217">
        <f>+J40*J37</f>
        <v>155865.78</v>
      </c>
    </row>
    <row r="45" spans="2:10" ht="15.75" thickBot="1" x14ac:dyDescent="0.3">
      <c r="B45" s="221" t="s">
        <v>129</v>
      </c>
      <c r="C45" s="222" t="s">
        <v>131</v>
      </c>
      <c r="D45" s="222" t="s">
        <v>228</v>
      </c>
      <c r="E45" s="222"/>
      <c r="F45" s="224">
        <f>+F43-F44</f>
        <v>225037.13000000003</v>
      </c>
      <c r="G45" s="224">
        <f>+G43-G44</f>
        <v>530860.79999999993</v>
      </c>
      <c r="H45" s="224">
        <f>+H43-H44</f>
        <v>546350.51</v>
      </c>
      <c r="I45" s="224">
        <f>+I43-I44</f>
        <v>634668.21000000008</v>
      </c>
      <c r="J45" s="225">
        <f>+J43-J44</f>
        <v>661294.62</v>
      </c>
    </row>
    <row r="46" spans="2:10" ht="15.75" thickBot="1" x14ac:dyDescent="0.3">
      <c r="B46" s="211"/>
      <c r="C46" s="207"/>
      <c r="D46" s="207"/>
      <c r="E46" s="207"/>
      <c r="F46" s="207"/>
      <c r="G46" s="207"/>
      <c r="H46" s="207"/>
      <c r="I46" s="207"/>
      <c r="J46" s="228"/>
    </row>
    <row r="47" spans="2:10" ht="15.75" thickBot="1" x14ac:dyDescent="0.3">
      <c r="B47" s="257" t="s">
        <v>102</v>
      </c>
      <c r="C47" s="258" t="s">
        <v>131</v>
      </c>
      <c r="D47" s="258"/>
      <c r="E47" s="258"/>
      <c r="F47" s="259">
        <f>+F45</f>
        <v>225037.13000000003</v>
      </c>
      <c r="G47" s="259">
        <f>+G45</f>
        <v>530860.79999999993</v>
      </c>
      <c r="H47" s="259">
        <f>+H45</f>
        <v>546350.51</v>
      </c>
      <c r="I47" s="259">
        <f>+I45</f>
        <v>634668.21000000008</v>
      </c>
      <c r="J47" s="260">
        <f>+J45</f>
        <v>661294.62</v>
      </c>
    </row>
    <row r="48" spans="2:10" x14ac:dyDescent="0.25">
      <c r="B48" s="211"/>
      <c r="C48" s="207"/>
      <c r="D48" s="207"/>
      <c r="E48" s="207"/>
      <c r="F48" s="207"/>
      <c r="G48" s="207"/>
      <c r="H48" s="207"/>
      <c r="I48" s="207"/>
      <c r="J48" s="228"/>
    </row>
    <row r="49" spans="2:10" x14ac:dyDescent="0.25">
      <c r="B49" s="211" t="s">
        <v>136</v>
      </c>
      <c r="C49" s="207"/>
      <c r="D49" s="207"/>
      <c r="E49" s="207"/>
      <c r="F49" s="207">
        <v>100</v>
      </c>
      <c r="G49" s="207">
        <v>101.7</v>
      </c>
      <c r="H49" s="207">
        <v>102.1</v>
      </c>
      <c r="I49" s="207">
        <v>108.1</v>
      </c>
      <c r="J49" s="228">
        <v>114.6</v>
      </c>
    </row>
    <row r="50" spans="2:10" ht="15.75" thickBot="1" x14ac:dyDescent="0.3">
      <c r="B50" s="211" t="s">
        <v>697</v>
      </c>
      <c r="C50" s="207"/>
      <c r="D50" s="207"/>
      <c r="E50" s="207"/>
      <c r="F50" s="261">
        <f>+$J$49/F49</f>
        <v>1.1459999999999999</v>
      </c>
      <c r="G50" s="261">
        <f>+$J$49/G49</f>
        <v>1.126843657817109</v>
      </c>
      <c r="H50" s="261">
        <f>+$J$49/H49</f>
        <v>1.1224289911851126</v>
      </c>
      <c r="I50" s="261">
        <f>+$J$49/I49</f>
        <v>1.0601295097132284</v>
      </c>
      <c r="J50" s="262">
        <f>+$J$49/J49</f>
        <v>1</v>
      </c>
    </row>
    <row r="51" spans="2:10" ht="15.75" thickBot="1" x14ac:dyDescent="0.3">
      <c r="B51" s="257" t="s">
        <v>137</v>
      </c>
      <c r="C51" s="258" t="s">
        <v>131</v>
      </c>
      <c r="D51" s="258"/>
      <c r="E51" s="258"/>
      <c r="F51" s="259">
        <f>+F47*F50</f>
        <v>257892.55098000003</v>
      </c>
      <c r="G51" s="259">
        <f>+G47*G50</f>
        <v>598197.1256637167</v>
      </c>
      <c r="H51" s="259">
        <f>+H47*H50</f>
        <v>613239.65177277185</v>
      </c>
      <c r="I51" s="259">
        <f>+I47*I50</f>
        <v>672830.49829787237</v>
      </c>
      <c r="J51" s="260">
        <f>+J47*J50</f>
        <v>661294.62</v>
      </c>
    </row>
    <row r="52" spans="2:10" ht="15.75" thickBot="1" x14ac:dyDescent="0.3">
      <c r="B52" s="257" t="s">
        <v>138</v>
      </c>
      <c r="C52" s="258" t="s">
        <v>131</v>
      </c>
      <c r="D52" s="258"/>
      <c r="E52" s="258"/>
      <c r="F52" s="259">
        <f>+F51</f>
        <v>257892.55098000003</v>
      </c>
      <c r="G52" s="259">
        <f>+G51+F52</f>
        <v>856089.67664371675</v>
      </c>
      <c r="H52" s="259">
        <f>+H51+G52</f>
        <v>1469329.3284164886</v>
      </c>
      <c r="I52" s="259">
        <f>+I51+H52</f>
        <v>2142159.8267143611</v>
      </c>
      <c r="J52" s="260">
        <f>+J51+I52</f>
        <v>2803454.4467143612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showGridLines="0" workbookViewId="0">
      <selection activeCell="B7" sqref="B7"/>
    </sheetView>
  </sheetViews>
  <sheetFormatPr baseColWidth="10" defaultColWidth="9.140625" defaultRowHeight="15.75" x14ac:dyDescent="0.25"/>
  <cols>
    <col min="1" max="16384" width="9.140625" style="289"/>
  </cols>
  <sheetData>
    <row r="3" spans="2:2" x14ac:dyDescent="0.25">
      <c r="B3" s="289" t="s">
        <v>888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showGridLines="0" topLeftCell="A154" workbookViewId="0">
      <selection activeCell="K170" sqref="K170"/>
    </sheetView>
  </sheetViews>
  <sheetFormatPr baseColWidth="10" defaultColWidth="11.42578125" defaultRowHeight="15.75" x14ac:dyDescent="0.25"/>
  <cols>
    <col min="1" max="1" width="42.5703125" style="289" customWidth="1"/>
    <col min="2" max="2" width="9.85546875" style="289" customWidth="1"/>
    <col min="3" max="6" width="7.7109375" style="289" bestFit="1" customWidth="1"/>
    <col min="7" max="8" width="7.5703125" style="289" bestFit="1" customWidth="1"/>
    <col min="9" max="256" width="11.42578125" style="289"/>
    <col min="257" max="257" width="42.5703125" style="289" customWidth="1"/>
    <col min="258" max="258" width="9.85546875" style="289" customWidth="1"/>
    <col min="259" max="262" width="7.7109375" style="289" bestFit="1" customWidth="1"/>
    <col min="263" max="264" width="7.5703125" style="289" bestFit="1" customWidth="1"/>
    <col min="265" max="512" width="11.42578125" style="289"/>
    <col min="513" max="513" width="42.5703125" style="289" customWidth="1"/>
    <col min="514" max="514" width="9.85546875" style="289" customWidth="1"/>
    <col min="515" max="518" width="7.7109375" style="289" bestFit="1" customWidth="1"/>
    <col min="519" max="520" width="7.5703125" style="289" bestFit="1" customWidth="1"/>
    <col min="521" max="768" width="11.42578125" style="289"/>
    <col min="769" max="769" width="42.5703125" style="289" customWidth="1"/>
    <col min="770" max="770" width="9.85546875" style="289" customWidth="1"/>
    <col min="771" max="774" width="7.7109375" style="289" bestFit="1" customWidth="1"/>
    <col min="775" max="776" width="7.5703125" style="289" bestFit="1" customWidth="1"/>
    <col min="777" max="1024" width="11.42578125" style="289"/>
    <col min="1025" max="1025" width="42.5703125" style="289" customWidth="1"/>
    <col min="1026" max="1026" width="9.85546875" style="289" customWidth="1"/>
    <col min="1027" max="1030" width="7.7109375" style="289" bestFit="1" customWidth="1"/>
    <col min="1031" max="1032" width="7.5703125" style="289" bestFit="1" customWidth="1"/>
    <col min="1033" max="1280" width="11.42578125" style="289"/>
    <col min="1281" max="1281" width="42.5703125" style="289" customWidth="1"/>
    <col min="1282" max="1282" width="9.85546875" style="289" customWidth="1"/>
    <col min="1283" max="1286" width="7.7109375" style="289" bestFit="1" customWidth="1"/>
    <col min="1287" max="1288" width="7.5703125" style="289" bestFit="1" customWidth="1"/>
    <col min="1289" max="1536" width="11.42578125" style="289"/>
    <col min="1537" max="1537" width="42.5703125" style="289" customWidth="1"/>
    <col min="1538" max="1538" width="9.85546875" style="289" customWidth="1"/>
    <col min="1539" max="1542" width="7.7109375" style="289" bestFit="1" customWidth="1"/>
    <col min="1543" max="1544" width="7.5703125" style="289" bestFit="1" customWidth="1"/>
    <col min="1545" max="1792" width="11.42578125" style="289"/>
    <col min="1793" max="1793" width="42.5703125" style="289" customWidth="1"/>
    <col min="1794" max="1794" width="9.85546875" style="289" customWidth="1"/>
    <col min="1795" max="1798" width="7.7109375" style="289" bestFit="1" customWidth="1"/>
    <col min="1799" max="1800" width="7.5703125" style="289" bestFit="1" customWidth="1"/>
    <col min="1801" max="2048" width="11.42578125" style="289"/>
    <col min="2049" max="2049" width="42.5703125" style="289" customWidth="1"/>
    <col min="2050" max="2050" width="9.85546875" style="289" customWidth="1"/>
    <col min="2051" max="2054" width="7.7109375" style="289" bestFit="1" customWidth="1"/>
    <col min="2055" max="2056" width="7.5703125" style="289" bestFit="1" customWidth="1"/>
    <col min="2057" max="2304" width="11.42578125" style="289"/>
    <col min="2305" max="2305" width="42.5703125" style="289" customWidth="1"/>
    <col min="2306" max="2306" width="9.85546875" style="289" customWidth="1"/>
    <col min="2307" max="2310" width="7.7109375" style="289" bestFit="1" customWidth="1"/>
    <col min="2311" max="2312" width="7.5703125" style="289" bestFit="1" customWidth="1"/>
    <col min="2313" max="2560" width="11.42578125" style="289"/>
    <col min="2561" max="2561" width="42.5703125" style="289" customWidth="1"/>
    <col min="2562" max="2562" width="9.85546875" style="289" customWidth="1"/>
    <col min="2563" max="2566" width="7.7109375" style="289" bestFit="1" customWidth="1"/>
    <col min="2567" max="2568" width="7.5703125" style="289" bestFit="1" customWidth="1"/>
    <col min="2569" max="2816" width="11.42578125" style="289"/>
    <col min="2817" max="2817" width="42.5703125" style="289" customWidth="1"/>
    <col min="2818" max="2818" width="9.85546875" style="289" customWidth="1"/>
    <col min="2819" max="2822" width="7.7109375" style="289" bestFit="1" customWidth="1"/>
    <col min="2823" max="2824" width="7.5703125" style="289" bestFit="1" customWidth="1"/>
    <col min="2825" max="3072" width="11.42578125" style="289"/>
    <col min="3073" max="3073" width="42.5703125" style="289" customWidth="1"/>
    <col min="3074" max="3074" width="9.85546875" style="289" customWidth="1"/>
    <col min="3075" max="3078" width="7.7109375" style="289" bestFit="1" customWidth="1"/>
    <col min="3079" max="3080" width="7.5703125" style="289" bestFit="1" customWidth="1"/>
    <col min="3081" max="3328" width="11.42578125" style="289"/>
    <col min="3329" max="3329" width="42.5703125" style="289" customWidth="1"/>
    <col min="3330" max="3330" width="9.85546875" style="289" customWidth="1"/>
    <col min="3331" max="3334" width="7.7109375" style="289" bestFit="1" customWidth="1"/>
    <col min="3335" max="3336" width="7.5703125" style="289" bestFit="1" customWidth="1"/>
    <col min="3337" max="3584" width="11.42578125" style="289"/>
    <col min="3585" max="3585" width="42.5703125" style="289" customWidth="1"/>
    <col min="3586" max="3586" width="9.85546875" style="289" customWidth="1"/>
    <col min="3587" max="3590" width="7.7109375" style="289" bestFit="1" customWidth="1"/>
    <col min="3591" max="3592" width="7.5703125" style="289" bestFit="1" customWidth="1"/>
    <col min="3593" max="3840" width="11.42578125" style="289"/>
    <col min="3841" max="3841" width="42.5703125" style="289" customWidth="1"/>
    <col min="3842" max="3842" width="9.85546875" style="289" customWidth="1"/>
    <col min="3843" max="3846" width="7.7109375" style="289" bestFit="1" customWidth="1"/>
    <col min="3847" max="3848" width="7.5703125" style="289" bestFit="1" customWidth="1"/>
    <col min="3849" max="4096" width="11.42578125" style="289"/>
    <col min="4097" max="4097" width="42.5703125" style="289" customWidth="1"/>
    <col min="4098" max="4098" width="9.85546875" style="289" customWidth="1"/>
    <col min="4099" max="4102" width="7.7109375" style="289" bestFit="1" customWidth="1"/>
    <col min="4103" max="4104" width="7.5703125" style="289" bestFit="1" customWidth="1"/>
    <col min="4105" max="4352" width="11.42578125" style="289"/>
    <col min="4353" max="4353" width="42.5703125" style="289" customWidth="1"/>
    <col min="4354" max="4354" width="9.85546875" style="289" customWidth="1"/>
    <col min="4355" max="4358" width="7.7109375" style="289" bestFit="1" customWidth="1"/>
    <col min="4359" max="4360" width="7.5703125" style="289" bestFit="1" customWidth="1"/>
    <col min="4361" max="4608" width="11.42578125" style="289"/>
    <col min="4609" max="4609" width="42.5703125" style="289" customWidth="1"/>
    <col min="4610" max="4610" width="9.85546875" style="289" customWidth="1"/>
    <col min="4611" max="4614" width="7.7109375" style="289" bestFit="1" customWidth="1"/>
    <col min="4615" max="4616" width="7.5703125" style="289" bestFit="1" customWidth="1"/>
    <col min="4617" max="4864" width="11.42578125" style="289"/>
    <col min="4865" max="4865" width="42.5703125" style="289" customWidth="1"/>
    <col min="4866" max="4866" width="9.85546875" style="289" customWidth="1"/>
    <col min="4867" max="4870" width="7.7109375" style="289" bestFit="1" customWidth="1"/>
    <col min="4871" max="4872" width="7.5703125" style="289" bestFit="1" customWidth="1"/>
    <col min="4873" max="5120" width="11.42578125" style="289"/>
    <col min="5121" max="5121" width="42.5703125" style="289" customWidth="1"/>
    <col min="5122" max="5122" width="9.85546875" style="289" customWidth="1"/>
    <col min="5123" max="5126" width="7.7109375" style="289" bestFit="1" customWidth="1"/>
    <col min="5127" max="5128" width="7.5703125" style="289" bestFit="1" customWidth="1"/>
    <col min="5129" max="5376" width="11.42578125" style="289"/>
    <col min="5377" max="5377" width="42.5703125" style="289" customWidth="1"/>
    <col min="5378" max="5378" width="9.85546875" style="289" customWidth="1"/>
    <col min="5379" max="5382" width="7.7109375" style="289" bestFit="1" customWidth="1"/>
    <col min="5383" max="5384" width="7.5703125" style="289" bestFit="1" customWidth="1"/>
    <col min="5385" max="5632" width="11.42578125" style="289"/>
    <col min="5633" max="5633" width="42.5703125" style="289" customWidth="1"/>
    <col min="5634" max="5634" width="9.85546875" style="289" customWidth="1"/>
    <col min="5635" max="5638" width="7.7109375" style="289" bestFit="1" customWidth="1"/>
    <col min="5639" max="5640" width="7.5703125" style="289" bestFit="1" customWidth="1"/>
    <col min="5641" max="5888" width="11.42578125" style="289"/>
    <col min="5889" max="5889" width="42.5703125" style="289" customWidth="1"/>
    <col min="5890" max="5890" width="9.85546875" style="289" customWidth="1"/>
    <col min="5891" max="5894" width="7.7109375" style="289" bestFit="1" customWidth="1"/>
    <col min="5895" max="5896" width="7.5703125" style="289" bestFit="1" customWidth="1"/>
    <col min="5897" max="6144" width="11.42578125" style="289"/>
    <col min="6145" max="6145" width="42.5703125" style="289" customWidth="1"/>
    <col min="6146" max="6146" width="9.85546875" style="289" customWidth="1"/>
    <col min="6147" max="6150" width="7.7109375" style="289" bestFit="1" customWidth="1"/>
    <col min="6151" max="6152" width="7.5703125" style="289" bestFit="1" customWidth="1"/>
    <col min="6153" max="6400" width="11.42578125" style="289"/>
    <col min="6401" max="6401" width="42.5703125" style="289" customWidth="1"/>
    <col min="6402" max="6402" width="9.85546875" style="289" customWidth="1"/>
    <col min="6403" max="6406" width="7.7109375" style="289" bestFit="1" customWidth="1"/>
    <col min="6407" max="6408" width="7.5703125" style="289" bestFit="1" customWidth="1"/>
    <col min="6409" max="6656" width="11.42578125" style="289"/>
    <col min="6657" max="6657" width="42.5703125" style="289" customWidth="1"/>
    <col min="6658" max="6658" width="9.85546875" style="289" customWidth="1"/>
    <col min="6659" max="6662" width="7.7109375" style="289" bestFit="1" customWidth="1"/>
    <col min="6663" max="6664" width="7.5703125" style="289" bestFit="1" customWidth="1"/>
    <col min="6665" max="6912" width="11.42578125" style="289"/>
    <col min="6913" max="6913" width="42.5703125" style="289" customWidth="1"/>
    <col min="6914" max="6914" width="9.85546875" style="289" customWidth="1"/>
    <col min="6915" max="6918" width="7.7109375" style="289" bestFit="1" customWidth="1"/>
    <col min="6919" max="6920" width="7.5703125" style="289" bestFit="1" customWidth="1"/>
    <col min="6921" max="7168" width="11.42578125" style="289"/>
    <col min="7169" max="7169" width="42.5703125" style="289" customWidth="1"/>
    <col min="7170" max="7170" width="9.85546875" style="289" customWidth="1"/>
    <col min="7171" max="7174" width="7.7109375" style="289" bestFit="1" customWidth="1"/>
    <col min="7175" max="7176" width="7.5703125" style="289" bestFit="1" customWidth="1"/>
    <col min="7177" max="7424" width="11.42578125" style="289"/>
    <col min="7425" max="7425" width="42.5703125" style="289" customWidth="1"/>
    <col min="7426" max="7426" width="9.85546875" style="289" customWidth="1"/>
    <col min="7427" max="7430" width="7.7109375" style="289" bestFit="1" customWidth="1"/>
    <col min="7431" max="7432" width="7.5703125" style="289" bestFit="1" customWidth="1"/>
    <col min="7433" max="7680" width="11.42578125" style="289"/>
    <col min="7681" max="7681" width="42.5703125" style="289" customWidth="1"/>
    <col min="7682" max="7682" width="9.85546875" style="289" customWidth="1"/>
    <col min="7683" max="7686" width="7.7109375" style="289" bestFit="1" customWidth="1"/>
    <col min="7687" max="7688" width="7.5703125" style="289" bestFit="1" customWidth="1"/>
    <col min="7689" max="7936" width="11.42578125" style="289"/>
    <col min="7937" max="7937" width="42.5703125" style="289" customWidth="1"/>
    <col min="7938" max="7938" width="9.85546875" style="289" customWidth="1"/>
    <col min="7939" max="7942" width="7.7109375" style="289" bestFit="1" customWidth="1"/>
    <col min="7943" max="7944" width="7.5703125" style="289" bestFit="1" customWidth="1"/>
    <col min="7945" max="8192" width="11.42578125" style="289"/>
    <col min="8193" max="8193" width="42.5703125" style="289" customWidth="1"/>
    <col min="8194" max="8194" width="9.85546875" style="289" customWidth="1"/>
    <col min="8195" max="8198" width="7.7109375" style="289" bestFit="1" customWidth="1"/>
    <col min="8199" max="8200" width="7.5703125" style="289" bestFit="1" customWidth="1"/>
    <col min="8201" max="8448" width="11.42578125" style="289"/>
    <col min="8449" max="8449" width="42.5703125" style="289" customWidth="1"/>
    <col min="8450" max="8450" width="9.85546875" style="289" customWidth="1"/>
    <col min="8451" max="8454" width="7.7109375" style="289" bestFit="1" customWidth="1"/>
    <col min="8455" max="8456" width="7.5703125" style="289" bestFit="1" customWidth="1"/>
    <col min="8457" max="8704" width="11.42578125" style="289"/>
    <col min="8705" max="8705" width="42.5703125" style="289" customWidth="1"/>
    <col min="8706" max="8706" width="9.85546875" style="289" customWidth="1"/>
    <col min="8707" max="8710" width="7.7109375" style="289" bestFit="1" customWidth="1"/>
    <col min="8711" max="8712" width="7.5703125" style="289" bestFit="1" customWidth="1"/>
    <col min="8713" max="8960" width="11.42578125" style="289"/>
    <col min="8961" max="8961" width="42.5703125" style="289" customWidth="1"/>
    <col min="8962" max="8962" width="9.85546875" style="289" customWidth="1"/>
    <col min="8963" max="8966" width="7.7109375" style="289" bestFit="1" customWidth="1"/>
    <col min="8967" max="8968" width="7.5703125" style="289" bestFit="1" customWidth="1"/>
    <col min="8969" max="9216" width="11.42578125" style="289"/>
    <col min="9217" max="9217" width="42.5703125" style="289" customWidth="1"/>
    <col min="9218" max="9218" width="9.85546875" style="289" customWidth="1"/>
    <col min="9219" max="9222" width="7.7109375" style="289" bestFit="1" customWidth="1"/>
    <col min="9223" max="9224" width="7.5703125" style="289" bestFit="1" customWidth="1"/>
    <col min="9225" max="9472" width="11.42578125" style="289"/>
    <col min="9473" max="9473" width="42.5703125" style="289" customWidth="1"/>
    <col min="9474" max="9474" width="9.85546875" style="289" customWidth="1"/>
    <col min="9475" max="9478" width="7.7109375" style="289" bestFit="1" customWidth="1"/>
    <col min="9479" max="9480" width="7.5703125" style="289" bestFit="1" customWidth="1"/>
    <col min="9481" max="9728" width="11.42578125" style="289"/>
    <col min="9729" max="9729" width="42.5703125" style="289" customWidth="1"/>
    <col min="9730" max="9730" width="9.85546875" style="289" customWidth="1"/>
    <col min="9731" max="9734" width="7.7109375" style="289" bestFit="1" customWidth="1"/>
    <col min="9735" max="9736" width="7.5703125" style="289" bestFit="1" customWidth="1"/>
    <col min="9737" max="9984" width="11.42578125" style="289"/>
    <col min="9985" max="9985" width="42.5703125" style="289" customWidth="1"/>
    <col min="9986" max="9986" width="9.85546875" style="289" customWidth="1"/>
    <col min="9987" max="9990" width="7.7109375" style="289" bestFit="1" customWidth="1"/>
    <col min="9991" max="9992" width="7.5703125" style="289" bestFit="1" customWidth="1"/>
    <col min="9993" max="10240" width="11.42578125" style="289"/>
    <col min="10241" max="10241" width="42.5703125" style="289" customWidth="1"/>
    <col min="10242" max="10242" width="9.85546875" style="289" customWidth="1"/>
    <col min="10243" max="10246" width="7.7109375" style="289" bestFit="1" customWidth="1"/>
    <col min="10247" max="10248" width="7.5703125" style="289" bestFit="1" customWidth="1"/>
    <col min="10249" max="10496" width="11.42578125" style="289"/>
    <col min="10497" max="10497" width="42.5703125" style="289" customWidth="1"/>
    <col min="10498" max="10498" width="9.85546875" style="289" customWidth="1"/>
    <col min="10499" max="10502" width="7.7109375" style="289" bestFit="1" customWidth="1"/>
    <col min="10503" max="10504" width="7.5703125" style="289" bestFit="1" customWidth="1"/>
    <col min="10505" max="10752" width="11.42578125" style="289"/>
    <col min="10753" max="10753" width="42.5703125" style="289" customWidth="1"/>
    <col min="10754" max="10754" width="9.85546875" style="289" customWidth="1"/>
    <col min="10755" max="10758" width="7.7109375" style="289" bestFit="1" customWidth="1"/>
    <col min="10759" max="10760" width="7.5703125" style="289" bestFit="1" customWidth="1"/>
    <col min="10761" max="11008" width="11.42578125" style="289"/>
    <col min="11009" max="11009" width="42.5703125" style="289" customWidth="1"/>
    <col min="11010" max="11010" width="9.85546875" style="289" customWidth="1"/>
    <col min="11011" max="11014" width="7.7109375" style="289" bestFit="1" customWidth="1"/>
    <col min="11015" max="11016" width="7.5703125" style="289" bestFit="1" customWidth="1"/>
    <col min="11017" max="11264" width="11.42578125" style="289"/>
    <col min="11265" max="11265" width="42.5703125" style="289" customWidth="1"/>
    <col min="11266" max="11266" width="9.85546875" style="289" customWidth="1"/>
    <col min="11267" max="11270" width="7.7109375" style="289" bestFit="1" customWidth="1"/>
    <col min="11271" max="11272" width="7.5703125" style="289" bestFit="1" customWidth="1"/>
    <col min="11273" max="11520" width="11.42578125" style="289"/>
    <col min="11521" max="11521" width="42.5703125" style="289" customWidth="1"/>
    <col min="11522" max="11522" width="9.85546875" style="289" customWidth="1"/>
    <col min="11523" max="11526" width="7.7109375" style="289" bestFit="1" customWidth="1"/>
    <col min="11527" max="11528" width="7.5703125" style="289" bestFit="1" customWidth="1"/>
    <col min="11529" max="11776" width="11.42578125" style="289"/>
    <col min="11777" max="11777" width="42.5703125" style="289" customWidth="1"/>
    <col min="11778" max="11778" width="9.85546875" style="289" customWidth="1"/>
    <col min="11779" max="11782" width="7.7109375" style="289" bestFit="1" customWidth="1"/>
    <col min="11783" max="11784" width="7.5703125" style="289" bestFit="1" customWidth="1"/>
    <col min="11785" max="12032" width="11.42578125" style="289"/>
    <col min="12033" max="12033" width="42.5703125" style="289" customWidth="1"/>
    <col min="12034" max="12034" width="9.85546875" style="289" customWidth="1"/>
    <col min="12035" max="12038" width="7.7109375" style="289" bestFit="1" customWidth="1"/>
    <col min="12039" max="12040" width="7.5703125" style="289" bestFit="1" customWidth="1"/>
    <col min="12041" max="12288" width="11.42578125" style="289"/>
    <col min="12289" max="12289" width="42.5703125" style="289" customWidth="1"/>
    <col min="12290" max="12290" width="9.85546875" style="289" customWidth="1"/>
    <col min="12291" max="12294" width="7.7109375" style="289" bestFit="1" customWidth="1"/>
    <col min="12295" max="12296" width="7.5703125" style="289" bestFit="1" customWidth="1"/>
    <col min="12297" max="12544" width="11.42578125" style="289"/>
    <col min="12545" max="12545" width="42.5703125" style="289" customWidth="1"/>
    <col min="12546" max="12546" width="9.85546875" style="289" customWidth="1"/>
    <col min="12547" max="12550" width="7.7109375" style="289" bestFit="1" customWidth="1"/>
    <col min="12551" max="12552" width="7.5703125" style="289" bestFit="1" customWidth="1"/>
    <col min="12553" max="12800" width="11.42578125" style="289"/>
    <col min="12801" max="12801" width="42.5703125" style="289" customWidth="1"/>
    <col min="12802" max="12802" width="9.85546875" style="289" customWidth="1"/>
    <col min="12803" max="12806" width="7.7109375" style="289" bestFit="1" customWidth="1"/>
    <col min="12807" max="12808" width="7.5703125" style="289" bestFit="1" customWidth="1"/>
    <col min="12809" max="13056" width="11.42578125" style="289"/>
    <col min="13057" max="13057" width="42.5703125" style="289" customWidth="1"/>
    <col min="13058" max="13058" width="9.85546875" style="289" customWidth="1"/>
    <col min="13059" max="13062" width="7.7109375" style="289" bestFit="1" customWidth="1"/>
    <col min="13063" max="13064" width="7.5703125" style="289" bestFit="1" customWidth="1"/>
    <col min="13065" max="13312" width="11.42578125" style="289"/>
    <col min="13313" max="13313" width="42.5703125" style="289" customWidth="1"/>
    <col min="13314" max="13314" width="9.85546875" style="289" customWidth="1"/>
    <col min="13315" max="13318" width="7.7109375" style="289" bestFit="1" customWidth="1"/>
    <col min="13319" max="13320" width="7.5703125" style="289" bestFit="1" customWidth="1"/>
    <col min="13321" max="13568" width="11.42578125" style="289"/>
    <col min="13569" max="13569" width="42.5703125" style="289" customWidth="1"/>
    <col min="13570" max="13570" width="9.85546875" style="289" customWidth="1"/>
    <col min="13571" max="13574" width="7.7109375" style="289" bestFit="1" customWidth="1"/>
    <col min="13575" max="13576" width="7.5703125" style="289" bestFit="1" customWidth="1"/>
    <col min="13577" max="13824" width="11.42578125" style="289"/>
    <col min="13825" max="13825" width="42.5703125" style="289" customWidth="1"/>
    <col min="13826" max="13826" width="9.85546875" style="289" customWidth="1"/>
    <col min="13827" max="13830" width="7.7109375" style="289" bestFit="1" customWidth="1"/>
    <col min="13831" max="13832" width="7.5703125" style="289" bestFit="1" customWidth="1"/>
    <col min="13833" max="14080" width="11.42578125" style="289"/>
    <col min="14081" max="14081" width="42.5703125" style="289" customWidth="1"/>
    <col min="14082" max="14082" width="9.85546875" style="289" customWidth="1"/>
    <col min="14083" max="14086" width="7.7109375" style="289" bestFit="1" customWidth="1"/>
    <col min="14087" max="14088" width="7.5703125" style="289" bestFit="1" customWidth="1"/>
    <col min="14089" max="14336" width="11.42578125" style="289"/>
    <col min="14337" max="14337" width="42.5703125" style="289" customWidth="1"/>
    <col min="14338" max="14338" width="9.85546875" style="289" customWidth="1"/>
    <col min="14339" max="14342" width="7.7109375" style="289" bestFit="1" customWidth="1"/>
    <col min="14343" max="14344" width="7.5703125" style="289" bestFit="1" customWidth="1"/>
    <col min="14345" max="14592" width="11.42578125" style="289"/>
    <col min="14593" max="14593" width="42.5703125" style="289" customWidth="1"/>
    <col min="14594" max="14594" width="9.85546875" style="289" customWidth="1"/>
    <col min="14595" max="14598" width="7.7109375" style="289" bestFit="1" customWidth="1"/>
    <col min="14599" max="14600" width="7.5703125" style="289" bestFit="1" customWidth="1"/>
    <col min="14601" max="14848" width="11.42578125" style="289"/>
    <col min="14849" max="14849" width="42.5703125" style="289" customWidth="1"/>
    <col min="14850" max="14850" width="9.85546875" style="289" customWidth="1"/>
    <col min="14851" max="14854" width="7.7109375" style="289" bestFit="1" customWidth="1"/>
    <col min="14855" max="14856" width="7.5703125" style="289" bestFit="1" customWidth="1"/>
    <col min="14857" max="15104" width="11.42578125" style="289"/>
    <col min="15105" max="15105" width="42.5703125" style="289" customWidth="1"/>
    <col min="15106" max="15106" width="9.85546875" style="289" customWidth="1"/>
    <col min="15107" max="15110" width="7.7109375" style="289" bestFit="1" customWidth="1"/>
    <col min="15111" max="15112" width="7.5703125" style="289" bestFit="1" customWidth="1"/>
    <col min="15113" max="15360" width="11.42578125" style="289"/>
    <col min="15361" max="15361" width="42.5703125" style="289" customWidth="1"/>
    <col min="15362" max="15362" width="9.85546875" style="289" customWidth="1"/>
    <col min="15363" max="15366" width="7.7109375" style="289" bestFit="1" customWidth="1"/>
    <col min="15367" max="15368" width="7.5703125" style="289" bestFit="1" customWidth="1"/>
    <col min="15369" max="15616" width="11.42578125" style="289"/>
    <col min="15617" max="15617" width="42.5703125" style="289" customWidth="1"/>
    <col min="15618" max="15618" width="9.85546875" style="289" customWidth="1"/>
    <col min="15619" max="15622" width="7.7109375" style="289" bestFit="1" customWidth="1"/>
    <col min="15623" max="15624" width="7.5703125" style="289" bestFit="1" customWidth="1"/>
    <col min="15625" max="15872" width="11.42578125" style="289"/>
    <col min="15873" max="15873" width="42.5703125" style="289" customWidth="1"/>
    <col min="15874" max="15874" width="9.85546875" style="289" customWidth="1"/>
    <col min="15875" max="15878" width="7.7109375" style="289" bestFit="1" customWidth="1"/>
    <col min="15879" max="15880" width="7.5703125" style="289" bestFit="1" customWidth="1"/>
    <col min="15881" max="16128" width="11.42578125" style="289"/>
    <col min="16129" max="16129" width="42.5703125" style="289" customWidth="1"/>
    <col min="16130" max="16130" width="9.85546875" style="289" customWidth="1"/>
    <col min="16131" max="16134" width="7.7109375" style="289" bestFit="1" customWidth="1"/>
    <col min="16135" max="16136" width="7.5703125" style="289" bestFit="1" customWidth="1"/>
    <col min="16137" max="16384" width="11.42578125" style="289"/>
  </cols>
  <sheetData>
    <row r="2" spans="1:8" ht="18.75" x14ac:dyDescent="0.3">
      <c r="A2" s="955" t="s">
        <v>889</v>
      </c>
    </row>
    <row r="4" spans="1:8" x14ac:dyDescent="0.25">
      <c r="A4" s="943" t="s">
        <v>890</v>
      </c>
      <c r="B4" s="944"/>
      <c r="C4" s="945">
        <v>2006</v>
      </c>
      <c r="D4" s="945">
        <v>2007</v>
      </c>
      <c r="E4" s="945">
        <v>2008</v>
      </c>
      <c r="F4" s="945">
        <v>2009</v>
      </c>
      <c r="G4" s="945">
        <v>2010</v>
      </c>
      <c r="H4" s="945">
        <v>2011</v>
      </c>
    </row>
    <row r="5" spans="1:8" x14ac:dyDescent="0.25">
      <c r="A5" s="289" t="s">
        <v>637</v>
      </c>
      <c r="C5" s="758">
        <v>1368</v>
      </c>
      <c r="D5" s="758">
        <v>1836</v>
      </c>
      <c r="E5" s="758">
        <v>1872.72</v>
      </c>
      <c r="F5" s="758">
        <v>1910.1744000000003</v>
      </c>
      <c r="G5" s="758">
        <v>1948.377888</v>
      </c>
      <c r="H5" s="758">
        <v>1987.3454457600001</v>
      </c>
    </row>
    <row r="6" spans="1:8" x14ac:dyDescent="0.25">
      <c r="A6" s="289" t="s">
        <v>891</v>
      </c>
      <c r="C6" s="758">
        <v>0</v>
      </c>
      <c r="D6" s="758">
        <v>0</v>
      </c>
      <c r="E6" s="758">
        <v>0</v>
      </c>
      <c r="F6" s="758">
        <v>0</v>
      </c>
      <c r="G6" s="758">
        <v>0</v>
      </c>
      <c r="H6" s="758">
        <v>0</v>
      </c>
    </row>
    <row r="7" spans="1:8" x14ac:dyDescent="0.25">
      <c r="A7" s="289" t="s">
        <v>892</v>
      </c>
      <c r="C7" s="758">
        <v>0</v>
      </c>
      <c r="D7" s="758">
        <v>0</v>
      </c>
      <c r="E7" s="758">
        <v>0</v>
      </c>
      <c r="F7" s="758">
        <v>0</v>
      </c>
      <c r="G7" s="758">
        <v>0</v>
      </c>
      <c r="H7" s="758">
        <v>0</v>
      </c>
    </row>
    <row r="8" spans="1:8" x14ac:dyDescent="0.25">
      <c r="A8" s="289" t="s">
        <v>893</v>
      </c>
      <c r="C8" s="758">
        <v>0</v>
      </c>
      <c r="D8" s="758">
        <v>0</v>
      </c>
      <c r="E8" s="758">
        <v>0</v>
      </c>
      <c r="F8" s="758">
        <v>0</v>
      </c>
      <c r="G8" s="758">
        <v>0</v>
      </c>
      <c r="H8" s="758">
        <v>0</v>
      </c>
    </row>
    <row r="9" spans="1:8" x14ac:dyDescent="0.25">
      <c r="A9" s="289" t="s">
        <v>894</v>
      </c>
      <c r="C9" s="758">
        <v>0</v>
      </c>
      <c r="D9" s="758">
        <v>0</v>
      </c>
      <c r="E9" s="758">
        <v>0</v>
      </c>
      <c r="F9" s="758">
        <v>0</v>
      </c>
      <c r="G9" s="758">
        <v>0</v>
      </c>
      <c r="H9" s="758">
        <v>0</v>
      </c>
    </row>
    <row r="10" spans="1:8" x14ac:dyDescent="0.25">
      <c r="C10" s="758"/>
      <c r="D10" s="758"/>
      <c r="E10" s="758"/>
      <c r="F10" s="758"/>
      <c r="G10" s="758"/>
      <c r="H10" s="758"/>
    </row>
    <row r="11" spans="1:8" x14ac:dyDescent="0.25">
      <c r="A11" s="946" t="s">
        <v>385</v>
      </c>
      <c r="B11" s="946"/>
      <c r="C11" s="947">
        <v>1368</v>
      </c>
      <c r="D11" s="947">
        <v>1836</v>
      </c>
      <c r="E11" s="947">
        <v>1872.72</v>
      </c>
      <c r="F11" s="947">
        <v>1910.1744000000003</v>
      </c>
      <c r="G11" s="947">
        <v>1948.377888</v>
      </c>
      <c r="H11" s="947">
        <v>1987.3454457600001</v>
      </c>
    </row>
    <row r="12" spans="1:8" x14ac:dyDescent="0.25">
      <c r="A12" s="289" t="s">
        <v>895</v>
      </c>
      <c r="C12" s="758">
        <v>1108.0800000000002</v>
      </c>
      <c r="D12" s="758">
        <v>1487.16</v>
      </c>
      <c r="E12" s="758">
        <v>1516.9032000000002</v>
      </c>
      <c r="F12" s="758">
        <v>1547.2412640000002</v>
      </c>
      <c r="G12" s="758">
        <v>1578.1860892800003</v>
      </c>
      <c r="H12" s="758">
        <v>1609.7498110656002</v>
      </c>
    </row>
    <row r="13" spans="1:8" x14ac:dyDescent="0.25">
      <c r="A13" s="289" t="s">
        <v>896</v>
      </c>
      <c r="C13" s="758">
        <v>0</v>
      </c>
      <c r="D13" s="758">
        <v>0</v>
      </c>
      <c r="E13" s="758">
        <v>0</v>
      </c>
      <c r="F13" s="758">
        <v>0</v>
      </c>
      <c r="G13" s="758">
        <v>0</v>
      </c>
      <c r="H13" s="758">
        <v>0</v>
      </c>
    </row>
    <row r="14" spans="1:8" x14ac:dyDescent="0.25">
      <c r="A14" s="289" t="s">
        <v>128</v>
      </c>
      <c r="C14" s="758">
        <v>1108.0800000000002</v>
      </c>
      <c r="D14" s="758">
        <v>1487.16</v>
      </c>
      <c r="E14" s="758">
        <v>1516.9032000000002</v>
      </c>
      <c r="F14" s="758">
        <v>1547.2412640000002</v>
      </c>
      <c r="G14" s="758">
        <v>1578.1860892800003</v>
      </c>
      <c r="H14" s="758">
        <v>1609.7498110656002</v>
      </c>
    </row>
    <row r="15" spans="1:8" x14ac:dyDescent="0.25">
      <c r="A15" s="289" t="s">
        <v>897</v>
      </c>
      <c r="C15" s="758">
        <v>259.91999999999985</v>
      </c>
      <c r="D15" s="758">
        <v>348.83999999999992</v>
      </c>
      <c r="E15" s="758">
        <v>355.81679999999983</v>
      </c>
      <c r="F15" s="758">
        <v>362.9331360000001</v>
      </c>
      <c r="G15" s="758">
        <v>370.19179871999972</v>
      </c>
      <c r="H15" s="758">
        <v>377.59563469439991</v>
      </c>
    </row>
    <row r="16" spans="1:8" x14ac:dyDescent="0.25">
      <c r="C16" s="758"/>
      <c r="D16" s="758"/>
      <c r="E16" s="758"/>
      <c r="F16" s="758"/>
      <c r="G16" s="758"/>
      <c r="H16" s="758"/>
    </row>
    <row r="17" spans="1:8" x14ac:dyDescent="0.25">
      <c r="A17" s="289" t="s">
        <v>898</v>
      </c>
      <c r="C17" s="758">
        <v>97.499999999999986</v>
      </c>
      <c r="D17" s="758">
        <v>132.6</v>
      </c>
      <c r="E17" s="758">
        <v>135.25200000000001</v>
      </c>
      <c r="F17" s="758">
        <v>137.95704000000001</v>
      </c>
      <c r="G17" s="758">
        <v>140.71618080000002</v>
      </c>
      <c r="H17" s="758">
        <v>143.53050441600001</v>
      </c>
    </row>
    <row r="18" spans="1:8" x14ac:dyDescent="0.25">
      <c r="A18" s="289" t="s">
        <v>899</v>
      </c>
      <c r="C18" s="758">
        <v>31.8825</v>
      </c>
      <c r="D18" s="758">
        <v>43.360199999999992</v>
      </c>
      <c r="E18" s="758">
        <v>44.227404</v>
      </c>
      <c r="F18" s="758">
        <v>45.111952080000002</v>
      </c>
      <c r="G18" s="758">
        <v>46.014191121599993</v>
      </c>
      <c r="H18" s="758">
        <v>46.93447494403199</v>
      </c>
    </row>
    <row r="19" spans="1:8" x14ac:dyDescent="0.25">
      <c r="A19" s="289" t="s">
        <v>900</v>
      </c>
      <c r="C19" s="758">
        <v>33.999999999999993</v>
      </c>
      <c r="D19" s="758">
        <v>34.68</v>
      </c>
      <c r="E19" s="758">
        <v>35.373600000000003</v>
      </c>
      <c r="F19" s="758">
        <v>36.081071999999999</v>
      </c>
      <c r="G19" s="758">
        <v>36.802693440000006</v>
      </c>
      <c r="H19" s="758">
        <v>37.538747308800005</v>
      </c>
    </row>
    <row r="20" spans="1:8" x14ac:dyDescent="0.25">
      <c r="A20" s="289" t="s">
        <v>901</v>
      </c>
      <c r="C20" s="758">
        <v>3</v>
      </c>
      <c r="D20" s="758">
        <v>3.0599999999999992</v>
      </c>
      <c r="E20" s="758">
        <v>3.1212</v>
      </c>
      <c r="F20" s="758">
        <v>3.1836240000000005</v>
      </c>
      <c r="G20" s="758">
        <v>3.2472964799999997</v>
      </c>
      <c r="H20" s="758">
        <v>3.3122424096000009</v>
      </c>
    </row>
    <row r="21" spans="1:8" x14ac:dyDescent="0.25">
      <c r="A21" s="289" t="s">
        <v>902</v>
      </c>
      <c r="C21" s="758">
        <v>3</v>
      </c>
      <c r="D21" s="758">
        <v>4</v>
      </c>
      <c r="E21" s="758">
        <v>4</v>
      </c>
      <c r="F21" s="758">
        <v>4</v>
      </c>
      <c r="G21" s="758">
        <v>4</v>
      </c>
      <c r="H21" s="758">
        <v>1</v>
      </c>
    </row>
    <row r="22" spans="1:8" x14ac:dyDescent="0.25">
      <c r="A22" s="289" t="s">
        <v>903</v>
      </c>
      <c r="C22" s="758">
        <v>31.562499999999993</v>
      </c>
      <c r="D22" s="758">
        <v>42.083333333333321</v>
      </c>
      <c r="E22" s="758">
        <v>42.083333333333321</v>
      </c>
      <c r="F22" s="758">
        <v>42.083333333333321</v>
      </c>
      <c r="G22" s="758">
        <v>42.083333333333321</v>
      </c>
      <c r="H22" s="758">
        <v>42.083333333333321</v>
      </c>
    </row>
    <row r="23" spans="1:8" x14ac:dyDescent="0.25">
      <c r="A23" s="289" t="s">
        <v>904</v>
      </c>
      <c r="C23" s="758">
        <v>2</v>
      </c>
      <c r="D23" s="758">
        <v>0.20400000000000007</v>
      </c>
      <c r="E23" s="758">
        <v>0.20807999999999996</v>
      </c>
      <c r="F23" s="758">
        <v>0.2122416</v>
      </c>
      <c r="G23" s="758">
        <v>0.21648643199999998</v>
      </c>
      <c r="H23" s="758">
        <v>0.22081616063999995</v>
      </c>
    </row>
    <row r="24" spans="1:8" x14ac:dyDescent="0.25">
      <c r="C24" s="758"/>
      <c r="D24" s="758"/>
      <c r="E24" s="758"/>
      <c r="F24" s="758"/>
      <c r="G24" s="758"/>
      <c r="H24" s="758"/>
    </row>
    <row r="25" spans="1:8" x14ac:dyDescent="0.25">
      <c r="A25" s="289" t="s">
        <v>162</v>
      </c>
      <c r="C25" s="758">
        <v>202.94499999999999</v>
      </c>
      <c r="D25" s="758">
        <v>259.98753333333332</v>
      </c>
      <c r="E25" s="758">
        <v>264.26561733333335</v>
      </c>
      <c r="F25" s="758">
        <v>268.6292630133334</v>
      </c>
      <c r="G25" s="758">
        <v>273.08018160693337</v>
      </c>
      <c r="H25" s="758">
        <v>274.62011857240537</v>
      </c>
    </row>
    <row r="26" spans="1:8" x14ac:dyDescent="0.25">
      <c r="A26" s="946" t="s">
        <v>905</v>
      </c>
      <c r="B26" s="946"/>
      <c r="C26" s="947">
        <v>56.974999999999852</v>
      </c>
      <c r="D26" s="947">
        <v>88.852466666666601</v>
      </c>
      <c r="E26" s="947">
        <v>91.551182666666477</v>
      </c>
      <c r="F26" s="947">
        <v>94.303872986666704</v>
      </c>
      <c r="G26" s="947">
        <v>97.111617113066359</v>
      </c>
      <c r="H26" s="947">
        <v>102.97551612199453</v>
      </c>
    </row>
    <row r="27" spans="1:8" x14ac:dyDescent="0.25">
      <c r="C27" s="758"/>
      <c r="D27" s="758"/>
      <c r="E27" s="758"/>
      <c r="F27" s="758"/>
      <c r="G27" s="758"/>
      <c r="H27" s="758"/>
    </row>
    <row r="28" spans="1:8" x14ac:dyDescent="0.25">
      <c r="A28" s="289" t="s">
        <v>906</v>
      </c>
      <c r="C28" s="758">
        <v>0</v>
      </c>
      <c r="D28" s="758">
        <v>0</v>
      </c>
      <c r="E28" s="758">
        <v>0</v>
      </c>
      <c r="F28" s="758">
        <v>0</v>
      </c>
      <c r="G28" s="758">
        <v>0</v>
      </c>
      <c r="H28" s="758">
        <v>0</v>
      </c>
    </row>
    <row r="29" spans="1:8" x14ac:dyDescent="0.25">
      <c r="A29" s="289" t="s">
        <v>907</v>
      </c>
      <c r="C29" s="758">
        <v>0</v>
      </c>
      <c r="D29" s="758">
        <v>0</v>
      </c>
      <c r="E29" s="758">
        <v>0</v>
      </c>
      <c r="F29" s="758">
        <v>0</v>
      </c>
      <c r="G29" s="758">
        <v>0</v>
      </c>
      <c r="H29" s="758">
        <v>0</v>
      </c>
    </row>
    <row r="30" spans="1:8" x14ac:dyDescent="0.25">
      <c r="A30" s="289" t="s">
        <v>908</v>
      </c>
      <c r="C30" s="758">
        <v>0</v>
      </c>
      <c r="D30" s="758">
        <v>0</v>
      </c>
      <c r="E30" s="758">
        <v>0</v>
      </c>
      <c r="F30" s="758">
        <v>0</v>
      </c>
      <c r="G30" s="758">
        <v>0</v>
      </c>
      <c r="H30" s="758">
        <v>0</v>
      </c>
    </row>
    <row r="31" spans="1:8" x14ac:dyDescent="0.25">
      <c r="A31" s="289" t="s">
        <v>909</v>
      </c>
      <c r="C31" s="758">
        <v>0</v>
      </c>
      <c r="D31" s="758">
        <v>0</v>
      </c>
      <c r="E31" s="758">
        <v>0</v>
      </c>
      <c r="F31" s="758">
        <v>0</v>
      </c>
      <c r="G31" s="758">
        <v>0</v>
      </c>
      <c r="H31" s="758">
        <v>0</v>
      </c>
    </row>
    <row r="32" spans="1:8" x14ac:dyDescent="0.25">
      <c r="C32" s="758"/>
      <c r="D32" s="758"/>
      <c r="E32" s="758"/>
      <c r="F32" s="758"/>
      <c r="G32" s="758"/>
      <c r="H32" s="758"/>
    </row>
    <row r="33" spans="1:8" x14ac:dyDescent="0.25">
      <c r="A33" s="289" t="s">
        <v>910</v>
      </c>
      <c r="C33" s="758">
        <v>0</v>
      </c>
      <c r="D33" s="758">
        <v>0</v>
      </c>
      <c r="E33" s="758">
        <v>0</v>
      </c>
      <c r="F33" s="758">
        <v>0</v>
      </c>
      <c r="G33" s="758">
        <v>0</v>
      </c>
      <c r="H33" s="758">
        <v>0</v>
      </c>
    </row>
    <row r="34" spans="1:8" x14ac:dyDescent="0.25">
      <c r="A34" s="946" t="s">
        <v>911</v>
      </c>
      <c r="B34" s="946"/>
      <c r="C34" s="947">
        <v>56.974999999999852</v>
      </c>
      <c r="D34" s="947">
        <v>88.852466666666601</v>
      </c>
      <c r="E34" s="947">
        <v>91.551182666666477</v>
      </c>
      <c r="F34" s="947">
        <v>94.303872986666704</v>
      </c>
      <c r="G34" s="947">
        <v>97.111617113066359</v>
      </c>
      <c r="H34" s="947">
        <v>102.97551612199453</v>
      </c>
    </row>
    <row r="35" spans="1:8" x14ac:dyDescent="0.25">
      <c r="A35" s="289" t="s">
        <v>912</v>
      </c>
      <c r="C35" s="758">
        <v>14.243749999999984</v>
      </c>
      <c r="D35" s="758">
        <v>22.213116666666657</v>
      </c>
      <c r="E35" s="758">
        <v>22.887795666666623</v>
      </c>
      <c r="F35" s="758">
        <v>23.57596824666664</v>
      </c>
      <c r="G35" s="758">
        <v>24.277904278266647</v>
      </c>
      <c r="H35" s="758">
        <v>25.892654836598368</v>
      </c>
    </row>
    <row r="36" spans="1:8" x14ac:dyDescent="0.25">
      <c r="A36" s="946" t="s">
        <v>290</v>
      </c>
      <c r="B36" s="946"/>
      <c r="C36" s="947">
        <v>42.731249999999868</v>
      </c>
      <c r="D36" s="947">
        <v>66.639349999999951</v>
      </c>
      <c r="E36" s="947">
        <v>68.663386999999858</v>
      </c>
      <c r="F36" s="947">
        <v>70.727904740000071</v>
      </c>
      <c r="G36" s="947">
        <v>72.833712834799712</v>
      </c>
      <c r="H36" s="947">
        <v>77.082861285396163</v>
      </c>
    </row>
    <row r="37" spans="1:8" x14ac:dyDescent="0.25">
      <c r="C37" s="758"/>
      <c r="D37" s="758"/>
      <c r="E37" s="758"/>
      <c r="F37" s="758"/>
      <c r="G37" s="758"/>
      <c r="H37" s="758"/>
    </row>
    <row r="38" spans="1:8" x14ac:dyDescent="0.25">
      <c r="C38" s="758"/>
      <c r="D38" s="758"/>
      <c r="E38" s="758"/>
      <c r="F38" s="758"/>
      <c r="G38" s="758"/>
      <c r="H38" s="758"/>
    </row>
    <row r="39" spans="1:8" x14ac:dyDescent="0.25">
      <c r="A39" s="946" t="s">
        <v>80</v>
      </c>
      <c r="B39" s="946"/>
      <c r="C39" s="947">
        <v>91.537499999999852</v>
      </c>
      <c r="D39" s="947">
        <v>134.93579999999992</v>
      </c>
      <c r="E39" s="947">
        <v>137.63451599999979</v>
      </c>
      <c r="F39" s="947">
        <v>140.38720632000002</v>
      </c>
      <c r="G39" s="947">
        <v>143.19495044639967</v>
      </c>
      <c r="H39" s="947">
        <v>146.05884945532785</v>
      </c>
    </row>
    <row r="42" spans="1:8" x14ac:dyDescent="0.25">
      <c r="A42" s="954" t="s">
        <v>913</v>
      </c>
    </row>
    <row r="44" spans="1:8" x14ac:dyDescent="0.25">
      <c r="A44" s="289" t="s">
        <v>914</v>
      </c>
      <c r="C44" s="945">
        <v>2006</v>
      </c>
      <c r="D44" s="945">
        <v>2007</v>
      </c>
      <c r="E44" s="945">
        <v>2008</v>
      </c>
      <c r="F44" s="945">
        <v>2009</v>
      </c>
      <c r="G44" s="945">
        <v>2010</v>
      </c>
      <c r="H44" s="945">
        <v>2011</v>
      </c>
    </row>
    <row r="45" spans="1:8" x14ac:dyDescent="0.25">
      <c r="A45" s="289" t="s">
        <v>915</v>
      </c>
    </row>
    <row r="46" spans="1:8" x14ac:dyDescent="0.25">
      <c r="A46" s="289" t="s">
        <v>915</v>
      </c>
    </row>
    <row r="47" spans="1:8" x14ac:dyDescent="0.25">
      <c r="A47" s="289" t="s">
        <v>916</v>
      </c>
      <c r="C47" s="758">
        <v>1118.3400000000001</v>
      </c>
      <c r="D47" s="758">
        <v>2074.752</v>
      </c>
      <c r="E47" s="758">
        <v>2140.6658400000001</v>
      </c>
      <c r="F47" s="758">
        <v>2196.8503775999998</v>
      </c>
      <c r="G47" s="758">
        <v>2240.7873851520003</v>
      </c>
      <c r="H47" s="758">
        <v>2285.6031328550403</v>
      </c>
    </row>
    <row r="48" spans="1:8" x14ac:dyDescent="0.25">
      <c r="A48" s="289" t="s">
        <v>917</v>
      </c>
      <c r="C48" s="758">
        <v>0</v>
      </c>
      <c r="D48" s="758">
        <v>263.04719999999998</v>
      </c>
      <c r="E48" s="758">
        <v>0</v>
      </c>
      <c r="F48" s="758">
        <v>0</v>
      </c>
      <c r="G48" s="758">
        <v>0</v>
      </c>
      <c r="H48" s="758">
        <v>0</v>
      </c>
    </row>
    <row r="49" spans="1:8" x14ac:dyDescent="0.25">
      <c r="A49" s="289" t="s">
        <v>918</v>
      </c>
      <c r="C49" s="758">
        <v>0</v>
      </c>
      <c r="D49" s="758">
        <v>0</v>
      </c>
      <c r="E49" s="758">
        <v>0</v>
      </c>
      <c r="F49" s="758">
        <v>0</v>
      </c>
      <c r="G49" s="758">
        <v>0</v>
      </c>
      <c r="H49" s="758">
        <v>0</v>
      </c>
    </row>
    <row r="50" spans="1:8" x14ac:dyDescent="0.25">
      <c r="A50" s="289" t="s">
        <v>919</v>
      </c>
      <c r="C50" s="758">
        <v>0</v>
      </c>
      <c r="D50" s="758">
        <v>0</v>
      </c>
      <c r="E50" s="758">
        <v>0</v>
      </c>
      <c r="F50" s="758">
        <v>0</v>
      </c>
      <c r="G50" s="758">
        <v>0</v>
      </c>
      <c r="H50" s="758">
        <v>0</v>
      </c>
    </row>
    <row r="51" spans="1:8" x14ac:dyDescent="0.25">
      <c r="A51" s="289" t="s">
        <v>920</v>
      </c>
      <c r="C51" s="758">
        <v>0</v>
      </c>
      <c r="D51" s="758">
        <v>0</v>
      </c>
      <c r="E51" s="758">
        <v>0</v>
      </c>
      <c r="F51" s="758">
        <v>0</v>
      </c>
      <c r="G51" s="758">
        <v>0</v>
      </c>
      <c r="H51" s="758">
        <v>0</v>
      </c>
    </row>
    <row r="52" spans="1:8" x14ac:dyDescent="0.25">
      <c r="A52" s="289" t="s">
        <v>893</v>
      </c>
      <c r="C52" s="758">
        <v>0</v>
      </c>
      <c r="D52" s="758">
        <v>0</v>
      </c>
      <c r="E52" s="758">
        <v>0</v>
      </c>
      <c r="F52" s="758">
        <v>0</v>
      </c>
      <c r="G52" s="758">
        <v>0</v>
      </c>
      <c r="H52" s="758">
        <v>0</v>
      </c>
    </row>
    <row r="53" spans="1:8" x14ac:dyDescent="0.25">
      <c r="A53" s="289" t="s">
        <v>894</v>
      </c>
      <c r="C53" s="758">
        <v>0</v>
      </c>
      <c r="D53" s="758">
        <v>0</v>
      </c>
      <c r="E53" s="758">
        <v>0</v>
      </c>
      <c r="F53" s="758">
        <v>0</v>
      </c>
      <c r="G53" s="758">
        <v>0</v>
      </c>
      <c r="H53" s="758">
        <v>0</v>
      </c>
    </row>
    <row r="54" spans="1:8" x14ac:dyDescent="0.25">
      <c r="C54" s="758">
        <v>0</v>
      </c>
      <c r="D54" s="758">
        <v>0</v>
      </c>
      <c r="E54" s="758">
        <v>0</v>
      </c>
      <c r="F54" s="758">
        <v>0</v>
      </c>
      <c r="G54" s="758">
        <v>0</v>
      </c>
      <c r="H54" s="758">
        <v>0</v>
      </c>
    </row>
    <row r="55" spans="1:8" x14ac:dyDescent="0.25">
      <c r="A55" s="946" t="s">
        <v>921</v>
      </c>
      <c r="B55" s="946"/>
      <c r="C55" s="947">
        <v>1118.3400000000001</v>
      </c>
      <c r="D55" s="947">
        <v>425.952</v>
      </c>
      <c r="E55" s="947">
        <v>434.47104000000002</v>
      </c>
      <c r="F55" s="947">
        <v>443.16046080000001</v>
      </c>
      <c r="G55" s="947">
        <v>452.02367001600004</v>
      </c>
      <c r="H55" s="947">
        <v>461.06414341632012</v>
      </c>
    </row>
    <row r="56" spans="1:8" x14ac:dyDescent="0.25">
      <c r="A56" s="289" t="s">
        <v>922</v>
      </c>
      <c r="C56" s="758"/>
      <c r="D56" s="758"/>
      <c r="E56" s="758"/>
      <c r="F56" s="758"/>
      <c r="G56" s="758"/>
      <c r="H56" s="758"/>
    </row>
    <row r="57" spans="1:8" x14ac:dyDescent="0.25">
      <c r="A57" s="289" t="s">
        <v>923</v>
      </c>
      <c r="C57" s="758">
        <v>1014.8554000000001</v>
      </c>
      <c r="D57" s="758">
        <v>1614.9653640000004</v>
      </c>
      <c r="E57" s="758">
        <v>1647.2646712800006</v>
      </c>
      <c r="F57" s="758">
        <v>1680.2099647056002</v>
      </c>
      <c r="G57" s="758">
        <v>1713.8141639997123</v>
      </c>
      <c r="H57" s="758">
        <v>1748.0904472797065</v>
      </c>
    </row>
    <row r="58" spans="1:8" x14ac:dyDescent="0.25">
      <c r="A58" s="289" t="s">
        <v>924</v>
      </c>
      <c r="C58" s="758">
        <v>0</v>
      </c>
      <c r="D58" s="758">
        <v>0</v>
      </c>
      <c r="E58" s="758">
        <v>0</v>
      </c>
      <c r="F58" s="758">
        <v>0</v>
      </c>
      <c r="G58" s="758">
        <v>0</v>
      </c>
      <c r="H58" s="758">
        <v>0</v>
      </c>
    </row>
    <row r="59" spans="1:8" x14ac:dyDescent="0.25">
      <c r="A59" s="289" t="s">
        <v>925</v>
      </c>
      <c r="C59" s="758">
        <v>66.489528750000005</v>
      </c>
      <c r="D59" s="758">
        <v>90.425759100000036</v>
      </c>
      <c r="E59" s="758">
        <v>92.234274282000044</v>
      </c>
      <c r="F59" s="758">
        <v>94.078959767640001</v>
      </c>
      <c r="G59" s="758">
        <v>95.960538962992771</v>
      </c>
      <c r="H59" s="758">
        <v>97.87974974225267</v>
      </c>
    </row>
    <row r="60" spans="1:8" x14ac:dyDescent="0.25">
      <c r="A60" s="289" t="s">
        <v>926</v>
      </c>
      <c r="C60" s="758">
        <v>33.973333333333329</v>
      </c>
      <c r="D60" s="758">
        <v>51.894266666666681</v>
      </c>
      <c r="E60" s="758">
        <v>52.932152000000002</v>
      </c>
      <c r="F60" s="758">
        <v>53.990795039999981</v>
      </c>
      <c r="G60" s="758">
        <v>55.07061094079998</v>
      </c>
      <c r="H60" s="758">
        <v>56.172023159615975</v>
      </c>
    </row>
    <row r="61" spans="1:8" x14ac:dyDescent="0.25">
      <c r="A61" s="289" t="s">
        <v>927</v>
      </c>
      <c r="C61" s="758">
        <v>16.448647499999996</v>
      </c>
      <c r="D61" s="758">
        <v>33.390754424999997</v>
      </c>
      <c r="E61" s="758">
        <v>34.058569513500004</v>
      </c>
      <c r="F61" s="758">
        <v>34.739740903769999</v>
      </c>
      <c r="G61" s="758">
        <v>35.434535721845386</v>
      </c>
      <c r="H61" s="758">
        <v>36.143226436282298</v>
      </c>
    </row>
    <row r="62" spans="1:8" x14ac:dyDescent="0.25">
      <c r="A62" s="289" t="s">
        <v>928</v>
      </c>
      <c r="C62" s="758">
        <v>42.440000000000019</v>
      </c>
      <c r="D62" s="758">
        <v>43.288799999999988</v>
      </c>
      <c r="E62" s="758">
        <v>44.154575999999992</v>
      </c>
      <c r="F62" s="758">
        <v>45.037667520000007</v>
      </c>
      <c r="G62" s="758">
        <v>45.938420870399995</v>
      </c>
      <c r="H62" s="758">
        <v>46.857189287808012</v>
      </c>
    </row>
    <row r="63" spans="1:8" x14ac:dyDescent="0.25">
      <c r="A63" s="289" t="s">
        <v>929</v>
      </c>
      <c r="C63" s="758">
        <v>2</v>
      </c>
      <c r="D63" s="758">
        <v>0.20400000000000007</v>
      </c>
      <c r="E63" s="758">
        <v>0.20807999999999996</v>
      </c>
      <c r="F63" s="758">
        <v>0.2122416</v>
      </c>
      <c r="G63" s="758">
        <v>0.21648643199999998</v>
      </c>
      <c r="H63" s="758">
        <v>0.22081616063999995</v>
      </c>
    </row>
    <row r="64" spans="1:8" x14ac:dyDescent="0.25">
      <c r="A64" s="289" t="s">
        <v>930</v>
      </c>
      <c r="C64" s="758">
        <v>0</v>
      </c>
      <c r="D64" s="758">
        <v>91.042343999999972</v>
      </c>
      <c r="E64" s="758">
        <v>133.05404687999999</v>
      </c>
      <c r="F64" s="758">
        <v>149.08634861759998</v>
      </c>
      <c r="G64" s="758">
        <v>152.068075589952</v>
      </c>
      <c r="H64" s="758">
        <v>155.10943710175104</v>
      </c>
    </row>
    <row r="65" spans="1:8" x14ac:dyDescent="0.25">
      <c r="A65" s="289" t="s">
        <v>931</v>
      </c>
      <c r="C65" s="758">
        <v>0</v>
      </c>
      <c r="D65" s="758">
        <v>14.243749999999984</v>
      </c>
      <c r="E65" s="758">
        <v>17.085366666666662</v>
      </c>
      <c r="F65" s="758">
        <v>12.327198666666629</v>
      </c>
      <c r="G65" s="758">
        <v>11.33800080666666</v>
      </c>
      <c r="H65" s="758">
        <v>11.670752489466663</v>
      </c>
    </row>
    <row r="66" spans="1:8" x14ac:dyDescent="0.25">
      <c r="A66" s="289" t="s">
        <v>932</v>
      </c>
      <c r="C66" s="758">
        <v>0</v>
      </c>
      <c r="D66" s="758">
        <v>5.1277499999999945</v>
      </c>
      <c r="E66" s="758">
        <v>10.560596999999994</v>
      </c>
      <c r="F66" s="758">
        <v>12.237967439999981</v>
      </c>
      <c r="G66" s="758">
        <v>12.607151788799984</v>
      </c>
      <c r="H66" s="758">
        <v>12.983719824575989</v>
      </c>
    </row>
    <row r="67" spans="1:8" x14ac:dyDescent="0.25">
      <c r="A67" s="289" t="s">
        <v>933</v>
      </c>
      <c r="C67" s="758">
        <v>0</v>
      </c>
      <c r="D67" s="758">
        <v>0</v>
      </c>
      <c r="E67" s="758">
        <v>0</v>
      </c>
      <c r="F67" s="758">
        <v>0</v>
      </c>
      <c r="G67" s="758">
        <v>0</v>
      </c>
      <c r="H67" s="758">
        <v>0</v>
      </c>
    </row>
    <row r="68" spans="1:8" x14ac:dyDescent="0.25">
      <c r="A68" s="289" t="s">
        <v>934</v>
      </c>
      <c r="C68" s="758">
        <v>0</v>
      </c>
      <c r="D68" s="758">
        <v>0</v>
      </c>
      <c r="E68" s="758">
        <v>0</v>
      </c>
      <c r="F68" s="758">
        <v>0</v>
      </c>
      <c r="G68" s="758">
        <v>0</v>
      </c>
      <c r="H68" s="758">
        <v>0</v>
      </c>
    </row>
    <row r="69" spans="1:8" x14ac:dyDescent="0.25">
      <c r="A69" s="289" t="s">
        <v>935</v>
      </c>
      <c r="C69" s="758">
        <v>0</v>
      </c>
      <c r="D69" s="758">
        <v>0</v>
      </c>
      <c r="E69" s="758">
        <v>0</v>
      </c>
      <c r="F69" s="758">
        <v>0</v>
      </c>
      <c r="G69" s="758">
        <v>0</v>
      </c>
      <c r="H69" s="758">
        <v>0</v>
      </c>
    </row>
    <row r="70" spans="1:8" x14ac:dyDescent="0.25">
      <c r="A70" s="289" t="s">
        <v>908</v>
      </c>
      <c r="C70" s="758">
        <v>0</v>
      </c>
      <c r="D70" s="758">
        <v>0</v>
      </c>
      <c r="E70" s="758">
        <v>0</v>
      </c>
      <c r="F70" s="758">
        <v>0</v>
      </c>
      <c r="G70" s="758">
        <v>0</v>
      </c>
      <c r="H70" s="758">
        <v>0</v>
      </c>
    </row>
    <row r="71" spans="1:8" x14ac:dyDescent="0.25">
      <c r="C71" s="758">
        <v>0</v>
      </c>
      <c r="D71" s="758">
        <v>0</v>
      </c>
      <c r="E71" s="758">
        <v>0</v>
      </c>
      <c r="F71" s="758">
        <v>0</v>
      </c>
      <c r="G71" s="758">
        <v>0</v>
      </c>
      <c r="H71" s="758">
        <v>0</v>
      </c>
    </row>
    <row r="72" spans="1:8" x14ac:dyDescent="0.25">
      <c r="A72" s="946" t="s">
        <v>936</v>
      </c>
      <c r="B72" s="946"/>
      <c r="C72" s="947">
        <v>1176.2069095833338</v>
      </c>
      <c r="D72" s="947">
        <v>416.38695600000005</v>
      </c>
      <c r="E72" s="947">
        <v>427.48111212000003</v>
      </c>
      <c r="F72" s="947">
        <v>436.11368436240002</v>
      </c>
      <c r="G72" s="947">
        <v>444.91890804964805</v>
      </c>
      <c r="H72" s="947">
        <v>453.90023621064097</v>
      </c>
    </row>
    <row r="73" spans="1:8" x14ac:dyDescent="0.25">
      <c r="A73" s="289" t="s">
        <v>937</v>
      </c>
      <c r="C73" s="758">
        <v>20.318499999999972</v>
      </c>
      <c r="D73" s="758">
        <v>9.5650439999999719</v>
      </c>
      <c r="E73" s="758">
        <v>6.9899278799999962</v>
      </c>
      <c r="F73" s="758">
        <v>7.0467764375999877</v>
      </c>
      <c r="G73" s="758">
        <v>7.1047619663519583</v>
      </c>
      <c r="H73" s="758">
        <v>7.1639072056790951</v>
      </c>
    </row>
    <row r="74" spans="1:8" x14ac:dyDescent="0.25">
      <c r="A74" s="289" t="s">
        <v>938</v>
      </c>
      <c r="C74" s="758">
        <v>-209.59915250000003</v>
      </c>
      <c r="D74" s="758">
        <v>945.724464449999</v>
      </c>
      <c r="E74" s="758">
        <v>1274.6249197389989</v>
      </c>
      <c r="F74" s="758">
        <v>1618.3210676337785</v>
      </c>
      <c r="G74" s="758">
        <v>1972.2250889864533</v>
      </c>
      <c r="H74" s="758">
        <v>2332.5159407661822</v>
      </c>
    </row>
    <row r="77" spans="1:8" x14ac:dyDescent="0.25">
      <c r="A77" s="953" t="s">
        <v>939</v>
      </c>
      <c r="C77" s="945">
        <v>2006</v>
      </c>
      <c r="D77" s="945">
        <v>2007</v>
      </c>
      <c r="E77" s="945">
        <v>2008</v>
      </c>
      <c r="F77" s="945">
        <v>2009</v>
      </c>
      <c r="G77" s="945">
        <v>2010</v>
      </c>
      <c r="H77" s="945">
        <v>2011</v>
      </c>
    </row>
    <row r="79" spans="1:8" x14ac:dyDescent="0.25">
      <c r="C79" s="758">
        <v>0</v>
      </c>
      <c r="D79" s="758">
        <v>0</v>
      </c>
      <c r="E79" s="758">
        <v>0</v>
      </c>
      <c r="F79" s="758">
        <v>0</v>
      </c>
      <c r="G79" s="758">
        <v>0</v>
      </c>
      <c r="H79" s="758">
        <v>0</v>
      </c>
    </row>
    <row r="80" spans="1:8" x14ac:dyDescent="0.25">
      <c r="A80" s="289" t="s">
        <v>940</v>
      </c>
      <c r="C80" s="758">
        <v>2000</v>
      </c>
      <c r="D80" s="758">
        <v>0</v>
      </c>
      <c r="E80" s="758">
        <v>0</v>
      </c>
      <c r="F80" s="758">
        <v>0</v>
      </c>
      <c r="G80" s="758">
        <v>0</v>
      </c>
      <c r="H80" s="758">
        <v>0</v>
      </c>
    </row>
    <row r="81" spans="1:9" x14ac:dyDescent="0.25">
      <c r="A81" s="289" t="s">
        <v>941</v>
      </c>
      <c r="C81" s="758">
        <v>0</v>
      </c>
      <c r="D81" s="758">
        <v>0</v>
      </c>
      <c r="E81" s="758">
        <v>0</v>
      </c>
      <c r="F81" s="758">
        <v>0</v>
      </c>
      <c r="G81" s="758">
        <v>0</v>
      </c>
      <c r="H81" s="758">
        <v>0</v>
      </c>
    </row>
    <row r="82" spans="1:9" x14ac:dyDescent="0.25">
      <c r="A82" s="289" t="s">
        <v>942</v>
      </c>
      <c r="C82" s="758">
        <v>0</v>
      </c>
      <c r="D82" s="758">
        <v>0</v>
      </c>
      <c r="E82" s="758">
        <v>0</v>
      </c>
      <c r="F82" s="758">
        <v>0</v>
      </c>
      <c r="G82" s="758">
        <v>0</v>
      </c>
      <c r="H82" s="758">
        <v>0</v>
      </c>
    </row>
    <row r="83" spans="1:9" x14ac:dyDescent="0.25">
      <c r="A83" s="289" t="s">
        <v>943</v>
      </c>
      <c r="C83" s="758">
        <v>0</v>
      </c>
      <c r="D83" s="758">
        <v>0</v>
      </c>
      <c r="E83" s="758">
        <v>0</v>
      </c>
      <c r="F83" s="758">
        <v>0</v>
      </c>
      <c r="G83" s="758">
        <v>0</v>
      </c>
      <c r="H83" s="758">
        <v>0</v>
      </c>
    </row>
    <row r="84" spans="1:9" x14ac:dyDescent="0.25">
      <c r="A84" s="289" t="s">
        <v>944</v>
      </c>
      <c r="C84" s="758">
        <v>0</v>
      </c>
      <c r="D84" s="758">
        <v>0</v>
      </c>
      <c r="E84" s="758">
        <v>0</v>
      </c>
      <c r="F84" s="758">
        <v>0</v>
      </c>
      <c r="G84" s="758">
        <v>0</v>
      </c>
      <c r="H84" s="758">
        <v>0</v>
      </c>
    </row>
    <row r="85" spans="1:9" x14ac:dyDescent="0.25">
      <c r="A85" s="289" t="s">
        <v>945</v>
      </c>
      <c r="C85" s="758">
        <v>0</v>
      </c>
      <c r="D85" s="758">
        <v>0</v>
      </c>
      <c r="E85" s="758">
        <v>0</v>
      </c>
      <c r="F85" s="758">
        <v>0</v>
      </c>
      <c r="G85" s="758">
        <v>0</v>
      </c>
      <c r="H85" s="758">
        <v>0</v>
      </c>
    </row>
    <row r="86" spans="1:9" x14ac:dyDescent="0.25">
      <c r="A86" s="289" t="s">
        <v>946</v>
      </c>
      <c r="C86" s="758">
        <v>0</v>
      </c>
      <c r="D86" s="758">
        <v>0</v>
      </c>
      <c r="E86" s="758">
        <v>0</v>
      </c>
      <c r="F86" s="758">
        <v>0</v>
      </c>
      <c r="G86" s="758">
        <v>0</v>
      </c>
      <c r="H86" s="758">
        <v>0</v>
      </c>
    </row>
    <row r="87" spans="1:9" x14ac:dyDescent="0.25">
      <c r="A87" s="289" t="s">
        <v>947</v>
      </c>
      <c r="C87" s="758">
        <v>0</v>
      </c>
      <c r="D87" s="758">
        <v>0</v>
      </c>
      <c r="E87" s="758">
        <v>0</v>
      </c>
      <c r="F87" s="758">
        <v>0</v>
      </c>
      <c r="G87" s="758">
        <v>0</v>
      </c>
      <c r="H87" s="758">
        <v>0</v>
      </c>
    </row>
    <row r="88" spans="1:9" x14ac:dyDescent="0.25">
      <c r="C88" s="758"/>
      <c r="D88" s="758"/>
      <c r="E88" s="758"/>
      <c r="F88" s="758"/>
      <c r="G88" s="758"/>
      <c r="H88" s="758"/>
    </row>
    <row r="89" spans="1:9" x14ac:dyDescent="0.25">
      <c r="A89" s="946" t="s">
        <v>948</v>
      </c>
      <c r="B89" s="946"/>
      <c r="C89" s="947">
        <f t="shared" ref="C89:H89" si="0">SUM(C79:C88)</f>
        <v>2000</v>
      </c>
      <c r="D89" s="947">
        <f t="shared" si="0"/>
        <v>0</v>
      </c>
      <c r="E89" s="947">
        <f t="shared" si="0"/>
        <v>0</v>
      </c>
      <c r="F89" s="947">
        <f t="shared" si="0"/>
        <v>0</v>
      </c>
      <c r="G89" s="947">
        <f t="shared" si="0"/>
        <v>0</v>
      </c>
      <c r="H89" s="947">
        <f t="shared" si="0"/>
        <v>0</v>
      </c>
      <c r="I89" s="758"/>
    </row>
    <row r="90" spans="1:9" x14ac:dyDescent="0.25">
      <c r="C90" s="758"/>
      <c r="D90" s="758"/>
      <c r="E90" s="758"/>
      <c r="F90" s="758"/>
      <c r="G90" s="758"/>
      <c r="H90" s="758"/>
    </row>
    <row r="91" spans="1:9" x14ac:dyDescent="0.25">
      <c r="A91" s="289" t="s">
        <v>949</v>
      </c>
      <c r="C91" s="758">
        <v>0</v>
      </c>
      <c r="D91" s="758">
        <v>0</v>
      </c>
      <c r="E91" s="758">
        <v>0</v>
      </c>
      <c r="F91" s="758">
        <v>0</v>
      </c>
      <c r="G91" s="758">
        <v>0</v>
      </c>
      <c r="H91" s="758">
        <v>0</v>
      </c>
    </row>
    <row r="92" spans="1:9" x14ac:dyDescent="0.25">
      <c r="A92" s="289" t="s">
        <v>950</v>
      </c>
      <c r="C92" s="758">
        <v>23.2</v>
      </c>
      <c r="D92" s="758">
        <v>0</v>
      </c>
      <c r="E92" s="758">
        <v>0</v>
      </c>
      <c r="F92" s="758">
        <v>0</v>
      </c>
      <c r="G92" s="758">
        <v>0</v>
      </c>
      <c r="H92" s="758">
        <v>0</v>
      </c>
    </row>
    <row r="93" spans="1:9" x14ac:dyDescent="0.25">
      <c r="A93" s="289" t="s">
        <v>951</v>
      </c>
      <c r="C93" s="758">
        <v>1948.8</v>
      </c>
      <c r="D93" s="758">
        <v>0</v>
      </c>
      <c r="E93" s="758">
        <v>0</v>
      </c>
      <c r="F93" s="758">
        <v>0</v>
      </c>
      <c r="G93" s="758">
        <v>0</v>
      </c>
      <c r="H93" s="758">
        <v>0</v>
      </c>
    </row>
    <row r="94" spans="1:9" x14ac:dyDescent="0.25">
      <c r="A94" s="289" t="s">
        <v>952</v>
      </c>
      <c r="C94" s="758">
        <v>0</v>
      </c>
      <c r="D94" s="758">
        <v>0</v>
      </c>
      <c r="E94" s="758">
        <v>0</v>
      </c>
      <c r="F94" s="758">
        <v>0</v>
      </c>
      <c r="G94" s="758">
        <v>0</v>
      </c>
      <c r="H94" s="758">
        <v>0</v>
      </c>
    </row>
    <row r="95" spans="1:9" x14ac:dyDescent="0.25">
      <c r="A95" s="289" t="s">
        <v>953</v>
      </c>
      <c r="C95" s="758">
        <v>0</v>
      </c>
      <c r="D95" s="758">
        <v>0</v>
      </c>
      <c r="E95" s="758">
        <v>0</v>
      </c>
      <c r="F95" s="758">
        <v>0</v>
      </c>
      <c r="G95" s="758">
        <v>0</v>
      </c>
      <c r="H95" s="758">
        <v>0</v>
      </c>
    </row>
    <row r="96" spans="1:9" x14ac:dyDescent="0.25">
      <c r="A96" s="289" t="s">
        <v>954</v>
      </c>
      <c r="C96" s="758">
        <v>0</v>
      </c>
      <c r="D96" s="758">
        <v>0</v>
      </c>
      <c r="E96" s="758">
        <v>0</v>
      </c>
      <c r="F96" s="758">
        <v>0</v>
      </c>
      <c r="G96" s="758">
        <v>0</v>
      </c>
      <c r="H96" s="758">
        <v>0</v>
      </c>
    </row>
    <row r="97" spans="1:8" x14ac:dyDescent="0.25">
      <c r="A97" s="289" t="s">
        <v>943</v>
      </c>
      <c r="C97" s="758">
        <v>0</v>
      </c>
      <c r="D97" s="758">
        <v>0</v>
      </c>
      <c r="E97" s="758">
        <v>0</v>
      </c>
      <c r="F97" s="758">
        <v>0</v>
      </c>
      <c r="G97" s="758">
        <v>0</v>
      </c>
      <c r="H97" s="758">
        <v>0</v>
      </c>
    </row>
    <row r="98" spans="1:8" x14ac:dyDescent="0.25">
      <c r="A98" s="289" t="s">
        <v>955</v>
      </c>
      <c r="C98" s="758">
        <v>0</v>
      </c>
      <c r="D98" s="758">
        <v>0</v>
      </c>
      <c r="E98" s="758">
        <v>0</v>
      </c>
      <c r="F98" s="758">
        <v>0</v>
      </c>
      <c r="G98" s="758">
        <v>0</v>
      </c>
      <c r="H98" s="758">
        <v>0</v>
      </c>
    </row>
    <row r="99" spans="1:8" x14ac:dyDescent="0.25">
      <c r="A99" s="289" t="s">
        <v>956</v>
      </c>
      <c r="C99" s="758">
        <v>0</v>
      </c>
      <c r="D99" s="758">
        <v>0</v>
      </c>
      <c r="E99" s="758">
        <v>0</v>
      </c>
      <c r="F99" s="758">
        <v>0</v>
      </c>
      <c r="G99" s="758">
        <v>0</v>
      </c>
      <c r="H99" s="758">
        <v>0</v>
      </c>
    </row>
    <row r="100" spans="1:8" x14ac:dyDescent="0.25">
      <c r="A100" s="289" t="s">
        <v>957</v>
      </c>
      <c r="C100" s="758">
        <v>0</v>
      </c>
      <c r="D100" s="758">
        <v>0</v>
      </c>
      <c r="E100" s="758">
        <v>0</v>
      </c>
      <c r="F100" s="758">
        <v>0</v>
      </c>
      <c r="G100" s="758">
        <v>0</v>
      </c>
      <c r="H100" s="758">
        <v>0</v>
      </c>
    </row>
    <row r="101" spans="1:8" x14ac:dyDescent="0.25">
      <c r="A101" s="289" t="s">
        <v>958</v>
      </c>
      <c r="C101" s="758">
        <v>0</v>
      </c>
      <c r="D101" s="758">
        <v>0</v>
      </c>
      <c r="E101" s="758">
        <v>0</v>
      </c>
      <c r="F101" s="758">
        <v>0</v>
      </c>
      <c r="G101" s="758">
        <v>0</v>
      </c>
      <c r="H101" s="758">
        <v>0</v>
      </c>
    </row>
    <row r="102" spans="1:8" x14ac:dyDescent="0.25">
      <c r="A102" s="289" t="s">
        <v>959</v>
      </c>
      <c r="C102" s="758">
        <v>0</v>
      </c>
      <c r="D102" s="758">
        <v>0</v>
      </c>
      <c r="E102" s="758">
        <v>0</v>
      </c>
      <c r="F102" s="758">
        <v>0</v>
      </c>
      <c r="G102" s="758">
        <v>0</v>
      </c>
      <c r="H102" s="758">
        <v>0</v>
      </c>
    </row>
    <row r="103" spans="1:8" x14ac:dyDescent="0.25">
      <c r="A103" s="289" t="s">
        <v>616</v>
      </c>
      <c r="C103" s="758">
        <v>0</v>
      </c>
      <c r="D103" s="758">
        <v>0</v>
      </c>
      <c r="E103" s="758">
        <v>0</v>
      </c>
      <c r="F103" s="758">
        <v>0</v>
      </c>
      <c r="G103" s="758">
        <v>0</v>
      </c>
      <c r="H103" s="758">
        <v>0</v>
      </c>
    </row>
    <row r="104" spans="1:8" x14ac:dyDescent="0.25">
      <c r="C104" s="758">
        <v>0</v>
      </c>
      <c r="D104" s="758">
        <v>0</v>
      </c>
      <c r="E104" s="758">
        <v>0</v>
      </c>
      <c r="F104" s="758">
        <v>0</v>
      </c>
      <c r="G104" s="758">
        <v>0</v>
      </c>
      <c r="H104" s="758">
        <v>0</v>
      </c>
    </row>
    <row r="105" spans="1:8" x14ac:dyDescent="0.25">
      <c r="A105" s="946" t="s">
        <v>936</v>
      </c>
      <c r="B105" s="946"/>
      <c r="C105" s="947">
        <f t="shared" ref="C105:H105" si="1">SUM(C91:C104)</f>
        <v>1972</v>
      </c>
      <c r="D105" s="947">
        <f t="shared" si="1"/>
        <v>0</v>
      </c>
      <c r="E105" s="947">
        <f t="shared" si="1"/>
        <v>0</v>
      </c>
      <c r="F105" s="947">
        <f t="shared" si="1"/>
        <v>0</v>
      </c>
      <c r="G105" s="947">
        <f t="shared" si="1"/>
        <v>0</v>
      </c>
      <c r="H105" s="947">
        <f t="shared" si="1"/>
        <v>0</v>
      </c>
    </row>
    <row r="106" spans="1:8" x14ac:dyDescent="0.25">
      <c r="A106" s="289" t="s">
        <v>960</v>
      </c>
      <c r="C106" s="758">
        <f t="shared" ref="C106:H106" si="2">+C89-C105</f>
        <v>28</v>
      </c>
      <c r="D106" s="758">
        <f t="shared" si="2"/>
        <v>0</v>
      </c>
      <c r="E106" s="758">
        <f t="shared" si="2"/>
        <v>0</v>
      </c>
      <c r="F106" s="758">
        <f t="shared" si="2"/>
        <v>0</v>
      </c>
      <c r="G106" s="758">
        <f t="shared" si="2"/>
        <v>0</v>
      </c>
      <c r="H106" s="758">
        <f t="shared" si="2"/>
        <v>0</v>
      </c>
    </row>
    <row r="107" spans="1:8" x14ac:dyDescent="0.25">
      <c r="B107" s="758"/>
      <c r="C107" s="758"/>
      <c r="D107" s="758"/>
      <c r="E107" s="758"/>
      <c r="F107" s="758"/>
      <c r="G107" s="758"/>
      <c r="H107" s="758"/>
    </row>
    <row r="108" spans="1:8" ht="16.5" thickBot="1" x14ac:dyDescent="0.3">
      <c r="A108" s="948" t="s">
        <v>961</v>
      </c>
      <c r="B108" s="949"/>
      <c r="C108" s="949"/>
      <c r="D108" s="758"/>
      <c r="E108" s="758"/>
      <c r="F108" s="758"/>
      <c r="G108" s="758"/>
      <c r="H108" s="758"/>
    </row>
    <row r="109" spans="1:8" x14ac:dyDescent="0.25">
      <c r="A109" s="726" t="s">
        <v>948</v>
      </c>
      <c r="B109" s="950"/>
      <c r="C109" s="950">
        <v>3118.3399999999997</v>
      </c>
      <c r="D109" s="950">
        <v>2337.7991999999999</v>
      </c>
      <c r="E109" s="950">
        <v>2140.6658400000001</v>
      </c>
      <c r="F109" s="950">
        <v>2196.8503775999998</v>
      </c>
      <c r="G109" s="950">
        <v>2240.7873851520003</v>
      </c>
      <c r="H109" s="951">
        <v>2285.6031328550403</v>
      </c>
    </row>
    <row r="110" spans="1:8" x14ac:dyDescent="0.25">
      <c r="A110" s="300" t="s">
        <v>936</v>
      </c>
      <c r="B110" s="701"/>
      <c r="C110" s="701">
        <v>3148.2069095833331</v>
      </c>
      <c r="D110" s="701">
        <v>1944.5827881916671</v>
      </c>
      <c r="E110" s="701">
        <v>2031.5523336221665</v>
      </c>
      <c r="F110" s="701">
        <v>2081.920884261277</v>
      </c>
      <c r="G110" s="701">
        <v>2122.4479851131696</v>
      </c>
      <c r="H110" s="742">
        <v>2165.1273614820989</v>
      </c>
    </row>
    <row r="111" spans="1:8" ht="16.5" thickBot="1" x14ac:dyDescent="0.3">
      <c r="A111" s="301" t="s">
        <v>960</v>
      </c>
      <c r="B111" s="732"/>
      <c r="C111" s="732">
        <v>-29.866909583333381</v>
      </c>
      <c r="D111" s="732">
        <v>393.21641180833285</v>
      </c>
      <c r="E111" s="732">
        <v>109.11350637783357</v>
      </c>
      <c r="F111" s="732">
        <v>114.92949333872275</v>
      </c>
      <c r="G111" s="732">
        <v>118.33940003883072</v>
      </c>
      <c r="H111" s="767">
        <v>120.47577137294138</v>
      </c>
    </row>
    <row r="112" spans="1:8" x14ac:dyDescent="0.25">
      <c r="B112" s="758"/>
      <c r="C112" s="758"/>
      <c r="D112" s="758"/>
      <c r="E112" s="758"/>
      <c r="F112" s="758"/>
      <c r="G112" s="758"/>
      <c r="H112" s="758"/>
    </row>
    <row r="113" spans="1:8" ht="16.5" thickBot="1" x14ac:dyDescent="0.3">
      <c r="B113" s="758"/>
      <c r="C113" s="758"/>
      <c r="D113" s="758"/>
      <c r="E113" s="758"/>
      <c r="F113" s="758"/>
      <c r="G113" s="758"/>
      <c r="H113" s="758"/>
    </row>
    <row r="114" spans="1:8" x14ac:dyDescent="0.25">
      <c r="A114" s="952" t="s">
        <v>962</v>
      </c>
      <c r="B114" s="950"/>
      <c r="C114" s="950">
        <v>0</v>
      </c>
      <c r="D114" s="950">
        <v>3</v>
      </c>
      <c r="E114" s="950">
        <v>363.34950222499947</v>
      </c>
      <c r="F114" s="950">
        <v>472.46300860283304</v>
      </c>
      <c r="G114" s="950">
        <v>587.39250194155579</v>
      </c>
      <c r="H114" s="951">
        <v>705.73190198038651</v>
      </c>
    </row>
    <row r="115" spans="1:8" x14ac:dyDescent="0.25">
      <c r="A115" s="300" t="s">
        <v>963</v>
      </c>
      <c r="B115" s="701"/>
      <c r="C115" s="701">
        <v>0</v>
      </c>
      <c r="D115" s="701">
        <v>-32.866909583333381</v>
      </c>
      <c r="E115" s="701">
        <v>0</v>
      </c>
      <c r="F115" s="701">
        <v>0</v>
      </c>
      <c r="G115" s="701">
        <v>0</v>
      </c>
      <c r="H115" s="742">
        <v>0</v>
      </c>
    </row>
    <row r="116" spans="1:8" x14ac:dyDescent="0.25">
      <c r="A116" s="300" t="s">
        <v>964</v>
      </c>
      <c r="B116" s="701"/>
      <c r="C116" s="701">
        <v>-29.866909583333381</v>
      </c>
      <c r="D116" s="701">
        <v>393.21641180833285</v>
      </c>
      <c r="E116" s="701">
        <v>109.11350637783357</v>
      </c>
      <c r="F116" s="701">
        <v>114.92949333872275</v>
      </c>
      <c r="G116" s="701">
        <v>118.33940003883072</v>
      </c>
      <c r="H116" s="742">
        <v>120.47577137294138</v>
      </c>
    </row>
    <row r="117" spans="1:8" x14ac:dyDescent="0.25">
      <c r="A117" s="300" t="s">
        <v>965</v>
      </c>
      <c r="B117" s="701">
        <v>3</v>
      </c>
      <c r="C117" s="701">
        <v>3</v>
      </c>
      <c r="D117" s="701">
        <v>3</v>
      </c>
      <c r="E117" s="701">
        <v>3</v>
      </c>
      <c r="F117" s="701">
        <v>3</v>
      </c>
      <c r="G117" s="701">
        <v>3</v>
      </c>
      <c r="H117" s="742">
        <v>3</v>
      </c>
    </row>
    <row r="118" spans="1:8" x14ac:dyDescent="0.25">
      <c r="A118" s="300" t="s">
        <v>966</v>
      </c>
      <c r="B118" s="701">
        <v>0</v>
      </c>
      <c r="C118" s="701">
        <v>3</v>
      </c>
      <c r="D118" s="701">
        <v>363.34950222499947</v>
      </c>
      <c r="E118" s="701">
        <v>472.46300860283304</v>
      </c>
      <c r="F118" s="701">
        <v>587.39250194155579</v>
      </c>
      <c r="G118" s="701">
        <v>705.73190198038651</v>
      </c>
      <c r="H118" s="742">
        <v>826.20767335332789</v>
      </c>
    </row>
    <row r="119" spans="1:8" ht="16.5" thickBot="1" x14ac:dyDescent="0.3">
      <c r="A119" s="301" t="s">
        <v>967</v>
      </c>
      <c r="B119" s="732">
        <v>0</v>
      </c>
      <c r="C119" s="732">
        <v>-32.866909583333381</v>
      </c>
      <c r="D119" s="732">
        <v>0</v>
      </c>
      <c r="E119" s="732">
        <v>0</v>
      </c>
      <c r="F119" s="732">
        <v>0</v>
      </c>
      <c r="G119" s="732">
        <v>0</v>
      </c>
      <c r="H119" s="767">
        <v>0</v>
      </c>
    </row>
    <row r="120" spans="1:8" x14ac:dyDescent="0.25">
      <c r="B120" s="758"/>
      <c r="C120" s="758"/>
      <c r="D120" s="758"/>
      <c r="E120" s="758"/>
      <c r="F120" s="758"/>
      <c r="G120" s="758"/>
      <c r="H120" s="758"/>
    </row>
    <row r="121" spans="1:8" x14ac:dyDescent="0.25">
      <c r="B121" s="758"/>
      <c r="C121" s="758"/>
      <c r="D121" s="758"/>
      <c r="E121" s="758"/>
      <c r="F121" s="758"/>
      <c r="G121" s="758"/>
      <c r="H121" s="758"/>
    </row>
    <row r="123" spans="1:8" x14ac:dyDescent="0.25">
      <c r="A123" s="943" t="s">
        <v>968</v>
      </c>
    </row>
    <row r="125" spans="1:8" x14ac:dyDescent="0.25">
      <c r="B125" s="289" t="s">
        <v>969</v>
      </c>
      <c r="C125" s="945">
        <v>2006</v>
      </c>
      <c r="D125" s="945">
        <v>2007</v>
      </c>
      <c r="E125" s="945">
        <v>2008</v>
      </c>
      <c r="F125" s="945">
        <v>2009</v>
      </c>
      <c r="G125" s="945">
        <v>2010</v>
      </c>
      <c r="H125" s="945">
        <v>2011</v>
      </c>
    </row>
    <row r="126" spans="1:8" x14ac:dyDescent="0.25">
      <c r="A126" s="289" t="s">
        <v>970</v>
      </c>
    </row>
    <row r="128" spans="1:8" x14ac:dyDescent="0.25">
      <c r="A128" s="289" t="s">
        <v>971</v>
      </c>
      <c r="B128" s="758">
        <v>0</v>
      </c>
      <c r="C128" s="758">
        <v>0</v>
      </c>
      <c r="D128" s="758">
        <v>0</v>
      </c>
      <c r="E128" s="758">
        <v>0</v>
      </c>
      <c r="F128" s="758">
        <v>0</v>
      </c>
      <c r="G128" s="758">
        <v>0</v>
      </c>
      <c r="H128" s="758">
        <v>0</v>
      </c>
    </row>
    <row r="129" spans="1:8" x14ac:dyDescent="0.25">
      <c r="A129" s="289" t="s">
        <v>972</v>
      </c>
      <c r="B129" s="758">
        <v>0</v>
      </c>
      <c r="C129" s="758">
        <v>0</v>
      </c>
      <c r="D129" s="758">
        <v>0</v>
      </c>
      <c r="E129" s="758">
        <v>0</v>
      </c>
      <c r="F129" s="758">
        <v>0</v>
      </c>
      <c r="G129" s="758">
        <v>0</v>
      </c>
      <c r="H129" s="758">
        <v>0</v>
      </c>
    </row>
    <row r="130" spans="1:8" x14ac:dyDescent="0.25">
      <c r="A130" s="289" t="s">
        <v>973</v>
      </c>
      <c r="B130" s="758">
        <v>0</v>
      </c>
      <c r="C130" s="758">
        <v>20</v>
      </c>
      <c r="D130" s="758">
        <v>20</v>
      </c>
      <c r="E130" s="758">
        <v>20</v>
      </c>
      <c r="F130" s="758">
        <v>20</v>
      </c>
      <c r="G130" s="758">
        <v>20</v>
      </c>
      <c r="H130" s="758">
        <v>20</v>
      </c>
    </row>
    <row r="131" spans="1:8" x14ac:dyDescent="0.25">
      <c r="A131" s="289" t="s">
        <v>974</v>
      </c>
      <c r="B131" s="758">
        <v>0</v>
      </c>
      <c r="C131" s="758">
        <v>0</v>
      </c>
      <c r="D131" s="758">
        <v>0</v>
      </c>
      <c r="E131" s="758">
        <v>0</v>
      </c>
      <c r="F131" s="758">
        <v>0</v>
      </c>
      <c r="G131" s="758">
        <v>0</v>
      </c>
      <c r="H131" s="758">
        <v>0</v>
      </c>
    </row>
    <row r="132" spans="1:8" x14ac:dyDescent="0.25">
      <c r="A132" s="289" t="s">
        <v>975</v>
      </c>
      <c r="B132" s="758">
        <v>0</v>
      </c>
      <c r="C132" s="758">
        <v>-3</v>
      </c>
      <c r="D132" s="758">
        <v>-6.9999999999999973</v>
      </c>
      <c r="E132" s="758">
        <v>-11.000000000000002</v>
      </c>
      <c r="F132" s="758">
        <v>-15.000000000000009</v>
      </c>
      <c r="G132" s="758">
        <v>-19</v>
      </c>
      <c r="H132" s="758">
        <v>-19.999999999999996</v>
      </c>
    </row>
    <row r="133" spans="1:8" x14ac:dyDescent="0.25">
      <c r="A133" s="289" t="s">
        <v>976</v>
      </c>
      <c r="B133" s="758">
        <v>0</v>
      </c>
      <c r="C133" s="758">
        <v>17</v>
      </c>
      <c r="D133" s="758">
        <v>13.000000000000004</v>
      </c>
      <c r="E133" s="758">
        <v>8.9999999999999982</v>
      </c>
      <c r="F133" s="758">
        <v>4.9999999999999911</v>
      </c>
      <c r="G133" s="758">
        <v>1</v>
      </c>
      <c r="H133" s="758">
        <v>0</v>
      </c>
    </row>
    <row r="134" spans="1:8" x14ac:dyDescent="0.25">
      <c r="B134" s="758"/>
      <c r="C134" s="758" t="s">
        <v>652</v>
      </c>
      <c r="D134" s="758" t="s">
        <v>652</v>
      </c>
      <c r="E134" s="758" t="s">
        <v>652</v>
      </c>
      <c r="F134" s="758" t="s">
        <v>652</v>
      </c>
      <c r="G134" s="758" t="s">
        <v>652</v>
      </c>
      <c r="H134" s="758" t="s">
        <v>652</v>
      </c>
    </row>
    <row r="135" spans="1:8" x14ac:dyDescent="0.25">
      <c r="A135" s="289" t="s">
        <v>977</v>
      </c>
      <c r="B135" s="758">
        <v>0</v>
      </c>
      <c r="C135" s="758">
        <v>1500</v>
      </c>
      <c r="D135" s="758">
        <v>1500</v>
      </c>
      <c r="E135" s="758">
        <v>1500</v>
      </c>
      <c r="F135" s="758">
        <v>1500</v>
      </c>
      <c r="G135" s="758">
        <v>1500</v>
      </c>
      <c r="H135" s="758">
        <v>1500</v>
      </c>
    </row>
    <row r="136" spans="1:8" x14ac:dyDescent="0.25">
      <c r="A136" s="289" t="s">
        <v>978</v>
      </c>
      <c r="B136" s="758">
        <v>0</v>
      </c>
      <c r="C136" s="758">
        <v>180</v>
      </c>
      <c r="D136" s="758">
        <v>180</v>
      </c>
      <c r="E136" s="758">
        <v>180</v>
      </c>
      <c r="F136" s="758">
        <v>180</v>
      </c>
      <c r="G136" s="758">
        <v>180</v>
      </c>
      <c r="H136" s="758">
        <v>180</v>
      </c>
    </row>
    <row r="137" spans="1:8" x14ac:dyDescent="0.25">
      <c r="A137" s="289" t="s">
        <v>979</v>
      </c>
      <c r="B137" s="758">
        <v>0</v>
      </c>
      <c r="C137" s="758">
        <v>0</v>
      </c>
      <c r="D137" s="758">
        <v>0</v>
      </c>
      <c r="E137" s="758">
        <v>0</v>
      </c>
      <c r="F137" s="758">
        <v>0</v>
      </c>
      <c r="G137" s="758">
        <v>0</v>
      </c>
      <c r="H137" s="758">
        <v>0</v>
      </c>
    </row>
    <row r="138" spans="1:8" x14ac:dyDescent="0.25">
      <c r="A138" s="289" t="s">
        <v>975</v>
      </c>
      <c r="B138" s="758">
        <v>0</v>
      </c>
      <c r="C138" s="758">
        <v>-31.562499999999993</v>
      </c>
      <c r="D138" s="758">
        <v>-73.645833333333314</v>
      </c>
      <c r="E138" s="758">
        <v>-115.72916666666663</v>
      </c>
      <c r="F138" s="758">
        <v>-157.81250000000006</v>
      </c>
      <c r="G138" s="758">
        <v>-199.89583333333354</v>
      </c>
      <c r="H138" s="758">
        <v>-241.97916666666703</v>
      </c>
    </row>
    <row r="139" spans="1:8" x14ac:dyDescent="0.25">
      <c r="A139" s="289" t="s">
        <v>980</v>
      </c>
      <c r="B139" s="758">
        <v>0</v>
      </c>
      <c r="C139" s="758">
        <v>1648.4375</v>
      </c>
      <c r="D139" s="758">
        <v>1606.3541666666667</v>
      </c>
      <c r="E139" s="758">
        <v>1564.2708333333335</v>
      </c>
      <c r="F139" s="758">
        <v>1522.1875</v>
      </c>
      <c r="G139" s="758">
        <v>1480.1041666666665</v>
      </c>
      <c r="H139" s="758">
        <v>1438.020833333333</v>
      </c>
    </row>
    <row r="140" spans="1:8" x14ac:dyDescent="0.25">
      <c r="B140" s="758"/>
      <c r="C140" s="758"/>
      <c r="D140" s="758"/>
      <c r="E140" s="758"/>
      <c r="F140" s="758"/>
      <c r="G140" s="758"/>
      <c r="H140" s="758"/>
    </row>
    <row r="141" spans="1:8" x14ac:dyDescent="0.25">
      <c r="A141" s="289" t="s">
        <v>981</v>
      </c>
      <c r="B141" s="758">
        <v>0</v>
      </c>
      <c r="C141" s="758">
        <v>0</v>
      </c>
      <c r="D141" s="758">
        <v>0</v>
      </c>
      <c r="E141" s="758">
        <v>0</v>
      </c>
      <c r="F141" s="758">
        <v>0</v>
      </c>
      <c r="G141" s="758">
        <v>0</v>
      </c>
      <c r="H141" s="758">
        <v>0</v>
      </c>
    </row>
    <row r="142" spans="1:8" x14ac:dyDescent="0.25">
      <c r="A142" s="289" t="s">
        <v>982</v>
      </c>
      <c r="B142" s="758">
        <v>0</v>
      </c>
      <c r="C142" s="758">
        <v>0</v>
      </c>
      <c r="D142" s="758">
        <v>0</v>
      </c>
      <c r="E142" s="758">
        <v>0</v>
      </c>
      <c r="F142" s="758">
        <v>0</v>
      </c>
      <c r="G142" s="758">
        <v>0</v>
      </c>
      <c r="H142" s="758">
        <v>0</v>
      </c>
    </row>
    <row r="143" spans="1:8" x14ac:dyDescent="0.25">
      <c r="A143" s="289" t="s">
        <v>983</v>
      </c>
      <c r="B143" s="758">
        <v>0</v>
      </c>
      <c r="C143" s="758">
        <v>0</v>
      </c>
      <c r="D143" s="758">
        <v>0</v>
      </c>
      <c r="E143" s="758">
        <v>0</v>
      </c>
      <c r="F143" s="758">
        <v>0</v>
      </c>
      <c r="G143" s="758">
        <v>0</v>
      </c>
      <c r="H143" s="758">
        <v>0</v>
      </c>
    </row>
    <row r="144" spans="1:8" x14ac:dyDescent="0.25">
      <c r="B144" s="758"/>
      <c r="C144" s="758"/>
      <c r="D144" s="758"/>
      <c r="E144" s="758"/>
      <c r="F144" s="758"/>
      <c r="G144" s="758"/>
      <c r="H144" s="758"/>
    </row>
    <row r="145" spans="1:8" x14ac:dyDescent="0.25">
      <c r="A145" s="946" t="s">
        <v>984</v>
      </c>
      <c r="B145" s="947">
        <v>0</v>
      </c>
      <c r="C145" s="947">
        <v>1665.4375</v>
      </c>
      <c r="D145" s="947">
        <v>1619.3541666666667</v>
      </c>
      <c r="E145" s="947">
        <v>1573.2708333333335</v>
      </c>
      <c r="F145" s="947">
        <v>1527.1875</v>
      </c>
      <c r="G145" s="947">
        <v>1481.1041666666665</v>
      </c>
      <c r="H145" s="947">
        <v>1438.020833333333</v>
      </c>
    </row>
    <row r="146" spans="1:8" x14ac:dyDescent="0.25">
      <c r="B146" s="758"/>
      <c r="C146" s="758"/>
      <c r="D146" s="758"/>
      <c r="E146" s="758"/>
      <c r="F146" s="758"/>
      <c r="G146" s="758"/>
      <c r="H146" s="758"/>
    </row>
    <row r="147" spans="1:8" x14ac:dyDescent="0.25">
      <c r="A147" s="289" t="s">
        <v>985</v>
      </c>
      <c r="B147" s="758">
        <v>0</v>
      </c>
      <c r="C147" s="758">
        <v>100</v>
      </c>
      <c r="D147" s="758">
        <v>100</v>
      </c>
      <c r="E147" s="758">
        <v>100</v>
      </c>
      <c r="F147" s="758">
        <v>100</v>
      </c>
      <c r="G147" s="758">
        <v>100</v>
      </c>
      <c r="H147" s="758">
        <v>100</v>
      </c>
    </row>
    <row r="148" spans="1:8" x14ac:dyDescent="0.25">
      <c r="A148" s="289" t="s">
        <v>986</v>
      </c>
      <c r="B148" s="758">
        <v>0</v>
      </c>
      <c r="C148" s="758">
        <v>0</v>
      </c>
      <c r="D148" s="758">
        <v>0</v>
      </c>
      <c r="E148" s="758">
        <v>0</v>
      </c>
      <c r="F148" s="758">
        <v>0</v>
      </c>
      <c r="G148" s="758">
        <v>0</v>
      </c>
      <c r="H148" s="758">
        <v>0</v>
      </c>
    </row>
    <row r="149" spans="1:8" x14ac:dyDescent="0.25">
      <c r="A149" s="289" t="s">
        <v>987</v>
      </c>
      <c r="B149" s="758">
        <v>0</v>
      </c>
      <c r="C149" s="758">
        <v>0</v>
      </c>
      <c r="D149" s="758">
        <v>0</v>
      </c>
      <c r="E149" s="758">
        <v>0</v>
      </c>
      <c r="F149" s="758">
        <v>0</v>
      </c>
      <c r="G149" s="758">
        <v>0</v>
      </c>
      <c r="H149" s="758">
        <v>0</v>
      </c>
    </row>
    <row r="150" spans="1:8" x14ac:dyDescent="0.25">
      <c r="A150" s="289" t="s">
        <v>988</v>
      </c>
      <c r="B150" s="758">
        <v>0</v>
      </c>
      <c r="C150" s="758">
        <v>100</v>
      </c>
      <c r="D150" s="758">
        <v>100</v>
      </c>
      <c r="E150" s="758">
        <v>100</v>
      </c>
      <c r="F150" s="758">
        <v>100</v>
      </c>
      <c r="G150" s="758">
        <v>100</v>
      </c>
      <c r="H150" s="758">
        <v>100</v>
      </c>
    </row>
    <row r="151" spans="1:8" x14ac:dyDescent="0.25">
      <c r="B151" s="758"/>
      <c r="C151" s="758"/>
      <c r="D151" s="758"/>
      <c r="E151" s="758"/>
      <c r="F151" s="758"/>
      <c r="G151" s="758"/>
      <c r="H151" s="758"/>
    </row>
    <row r="152" spans="1:8" x14ac:dyDescent="0.25">
      <c r="A152" s="289" t="s">
        <v>989</v>
      </c>
      <c r="B152" s="758">
        <v>0</v>
      </c>
      <c r="C152" s="758">
        <v>372.78</v>
      </c>
      <c r="D152" s="758">
        <v>404.65439999999978</v>
      </c>
      <c r="E152" s="758">
        <v>412.74748799999975</v>
      </c>
      <c r="F152" s="758">
        <v>421.00243775999968</v>
      </c>
      <c r="G152" s="758">
        <v>429.42248651519986</v>
      </c>
      <c r="H152" s="758">
        <v>438.01093624550379</v>
      </c>
    </row>
    <row r="153" spans="1:8" x14ac:dyDescent="0.25">
      <c r="A153" s="289" t="s">
        <v>393</v>
      </c>
      <c r="B153" s="758">
        <v>0</v>
      </c>
      <c r="C153" s="758">
        <v>0</v>
      </c>
      <c r="D153" s="758">
        <v>0</v>
      </c>
      <c r="E153" s="758">
        <v>0</v>
      </c>
      <c r="F153" s="758">
        <v>0</v>
      </c>
      <c r="G153" s="758">
        <v>0</v>
      </c>
      <c r="H153" s="758">
        <v>0</v>
      </c>
    </row>
    <row r="154" spans="1:8" x14ac:dyDescent="0.25">
      <c r="A154" s="289" t="s">
        <v>990</v>
      </c>
      <c r="B154" s="758">
        <v>0</v>
      </c>
      <c r="C154" s="758">
        <v>0</v>
      </c>
      <c r="D154" s="758">
        <v>0</v>
      </c>
      <c r="E154" s="758">
        <v>0</v>
      </c>
      <c r="F154" s="758">
        <v>0</v>
      </c>
      <c r="G154" s="758">
        <v>0</v>
      </c>
      <c r="H154" s="758">
        <v>0</v>
      </c>
    </row>
    <row r="155" spans="1:8" x14ac:dyDescent="0.25">
      <c r="A155" s="289" t="s">
        <v>991</v>
      </c>
      <c r="B155" s="758">
        <v>0</v>
      </c>
      <c r="C155" s="758">
        <v>0</v>
      </c>
      <c r="D155" s="758">
        <v>0</v>
      </c>
      <c r="E155" s="758">
        <v>0</v>
      </c>
      <c r="F155" s="758">
        <v>0</v>
      </c>
      <c r="G155" s="758">
        <v>0</v>
      </c>
      <c r="H155" s="758">
        <v>0</v>
      </c>
    </row>
    <row r="156" spans="1:8" x14ac:dyDescent="0.25">
      <c r="A156" s="289" t="s">
        <v>992</v>
      </c>
      <c r="B156" s="758">
        <v>0</v>
      </c>
      <c r="C156" s="758">
        <v>0</v>
      </c>
      <c r="D156" s="758">
        <v>0</v>
      </c>
      <c r="E156" s="758">
        <v>0</v>
      </c>
      <c r="F156" s="758">
        <v>0</v>
      </c>
      <c r="G156" s="758">
        <v>0</v>
      </c>
      <c r="H156" s="758">
        <v>0</v>
      </c>
    </row>
    <row r="157" spans="1:8" x14ac:dyDescent="0.25">
      <c r="A157" s="289" t="s">
        <v>993</v>
      </c>
      <c r="B157" s="758">
        <v>0</v>
      </c>
      <c r="C157" s="758">
        <v>263.04719999999998</v>
      </c>
      <c r="D157" s="758">
        <v>0</v>
      </c>
      <c r="E157" s="758">
        <v>0</v>
      </c>
      <c r="F157" s="758">
        <v>0</v>
      </c>
      <c r="G157" s="758">
        <v>0</v>
      </c>
      <c r="H157" s="758">
        <v>0</v>
      </c>
    </row>
    <row r="158" spans="1:8" x14ac:dyDescent="0.25">
      <c r="A158" s="289" t="s">
        <v>994</v>
      </c>
      <c r="B158" s="758">
        <v>0</v>
      </c>
      <c r="C158" s="758">
        <v>635.82719999999995</v>
      </c>
      <c r="D158" s="758">
        <v>404.65439999999978</v>
      </c>
      <c r="E158" s="758">
        <v>412.74748799999975</v>
      </c>
      <c r="F158" s="758">
        <v>421.00243775999968</v>
      </c>
      <c r="G158" s="758">
        <v>429.42248651519986</v>
      </c>
      <c r="H158" s="758">
        <v>438.01093624550379</v>
      </c>
    </row>
    <row r="159" spans="1:8" x14ac:dyDescent="0.25">
      <c r="B159" s="758"/>
      <c r="C159" s="758"/>
      <c r="D159" s="758"/>
      <c r="E159" s="758"/>
      <c r="F159" s="758"/>
      <c r="G159" s="758"/>
      <c r="H159" s="758"/>
    </row>
    <row r="160" spans="1:8" x14ac:dyDescent="0.25">
      <c r="A160" s="289" t="s">
        <v>995</v>
      </c>
      <c r="B160" s="758">
        <v>0</v>
      </c>
      <c r="C160" s="758">
        <v>3</v>
      </c>
      <c r="D160" s="758">
        <v>363.34950222499992</v>
      </c>
      <c r="E160" s="758">
        <v>472.46300860283321</v>
      </c>
      <c r="F160" s="758">
        <v>587.39250194155636</v>
      </c>
      <c r="G160" s="758">
        <v>705.73190198038719</v>
      </c>
      <c r="H160" s="758">
        <v>826.20767335332835</v>
      </c>
    </row>
    <row r="161" spans="1:8" x14ac:dyDescent="0.25">
      <c r="B161" s="758"/>
      <c r="C161" s="758"/>
      <c r="D161" s="758"/>
      <c r="E161" s="758"/>
      <c r="F161" s="758"/>
      <c r="G161" s="758"/>
      <c r="H161" s="758"/>
    </row>
    <row r="162" spans="1:8" x14ac:dyDescent="0.25">
      <c r="A162" s="946" t="s">
        <v>996</v>
      </c>
      <c r="B162" s="947">
        <v>0</v>
      </c>
      <c r="C162" s="947">
        <v>738.82719999999995</v>
      </c>
      <c r="D162" s="947">
        <v>868.00390222499971</v>
      </c>
      <c r="E162" s="947">
        <v>985.21049660283302</v>
      </c>
      <c r="F162" s="947">
        <v>1108.394939701556</v>
      </c>
      <c r="G162" s="947">
        <v>1235.154388495587</v>
      </c>
      <c r="H162" s="947">
        <v>1364.2186095988322</v>
      </c>
    </row>
    <row r="163" spans="1:8" x14ac:dyDescent="0.25">
      <c r="B163" s="758"/>
      <c r="C163" s="758"/>
      <c r="D163" s="758"/>
      <c r="E163" s="758"/>
      <c r="F163" s="758"/>
      <c r="G163" s="758"/>
      <c r="H163" s="758"/>
    </row>
    <row r="164" spans="1:8" x14ac:dyDescent="0.25">
      <c r="A164" s="946" t="s">
        <v>997</v>
      </c>
      <c r="B164" s="947">
        <v>0</v>
      </c>
      <c r="C164" s="947">
        <v>2404.2646999999997</v>
      </c>
      <c r="D164" s="947">
        <v>2487.3580688916663</v>
      </c>
      <c r="E164" s="947">
        <v>2558.4813299361667</v>
      </c>
      <c r="F164" s="947">
        <v>2635.5824397015558</v>
      </c>
      <c r="G164" s="947">
        <v>2716.2585551622533</v>
      </c>
      <c r="H164" s="947">
        <v>2802.2394429321653</v>
      </c>
    </row>
    <row r="167" spans="1:8" x14ac:dyDescent="0.25">
      <c r="A167" s="943" t="s">
        <v>968</v>
      </c>
    </row>
    <row r="168" spans="1:8" x14ac:dyDescent="0.25">
      <c r="B168" s="289" t="s">
        <v>969</v>
      </c>
      <c r="C168" s="945">
        <v>2006</v>
      </c>
      <c r="D168" s="945">
        <v>2007</v>
      </c>
      <c r="E168" s="945">
        <v>2008</v>
      </c>
      <c r="F168" s="945">
        <v>2009</v>
      </c>
      <c r="G168" s="945">
        <v>2010</v>
      </c>
      <c r="H168" s="945">
        <v>2011</v>
      </c>
    </row>
    <row r="169" spans="1:8" x14ac:dyDescent="0.25">
      <c r="A169" s="289" t="s">
        <v>998</v>
      </c>
    </row>
    <row r="171" spans="1:8" x14ac:dyDescent="0.25">
      <c r="A171" s="289" t="s">
        <v>999</v>
      </c>
      <c r="B171" s="758">
        <v>0</v>
      </c>
      <c r="C171" s="758">
        <v>2000</v>
      </c>
      <c r="D171" s="758">
        <v>2000</v>
      </c>
      <c r="E171" s="758">
        <v>2000</v>
      </c>
      <c r="F171" s="758">
        <v>2000</v>
      </c>
      <c r="G171" s="758">
        <v>2000</v>
      </c>
      <c r="H171" s="758">
        <v>2000</v>
      </c>
    </row>
    <row r="172" spans="1:8" x14ac:dyDescent="0.25">
      <c r="A172" s="289" t="s">
        <v>1000</v>
      </c>
      <c r="B172" s="758">
        <v>0</v>
      </c>
      <c r="C172" s="758">
        <v>0</v>
      </c>
      <c r="D172" s="758">
        <v>0</v>
      </c>
      <c r="E172" s="758">
        <v>0</v>
      </c>
      <c r="F172" s="758">
        <v>0</v>
      </c>
      <c r="G172" s="758">
        <v>0</v>
      </c>
      <c r="H172" s="758">
        <v>0</v>
      </c>
    </row>
    <row r="173" spans="1:8" x14ac:dyDescent="0.25">
      <c r="A173" s="289" t="s">
        <v>1001</v>
      </c>
      <c r="B173" s="758">
        <v>0</v>
      </c>
      <c r="C173" s="758">
        <v>0</v>
      </c>
      <c r="D173" s="758">
        <v>42.731249999999946</v>
      </c>
      <c r="E173" s="758">
        <v>109.37059999999991</v>
      </c>
      <c r="F173" s="758">
        <v>178.0339869999998</v>
      </c>
      <c r="G173" s="758">
        <v>248.76189173999973</v>
      </c>
      <c r="H173" s="758">
        <v>321.59560457479967</v>
      </c>
    </row>
    <row r="174" spans="1:8" x14ac:dyDescent="0.25">
      <c r="A174" s="289" t="s">
        <v>1002</v>
      </c>
      <c r="B174" s="758">
        <v>0</v>
      </c>
      <c r="C174" s="758">
        <v>0</v>
      </c>
      <c r="D174" s="758">
        <v>0</v>
      </c>
      <c r="E174" s="758">
        <v>0</v>
      </c>
      <c r="F174" s="758">
        <v>0</v>
      </c>
      <c r="G174" s="758">
        <v>0</v>
      </c>
      <c r="H174" s="758">
        <v>0</v>
      </c>
    </row>
    <row r="175" spans="1:8" x14ac:dyDescent="0.25">
      <c r="A175" s="289" t="s">
        <v>1003</v>
      </c>
      <c r="B175" s="758">
        <v>0</v>
      </c>
      <c r="C175" s="758">
        <v>42.731249999999946</v>
      </c>
      <c r="D175" s="758">
        <v>66.639349999999965</v>
      </c>
      <c r="E175" s="758">
        <v>68.663386999999872</v>
      </c>
      <c r="F175" s="758">
        <v>70.727904739999929</v>
      </c>
      <c r="G175" s="758">
        <v>72.83371283479994</v>
      </c>
      <c r="H175" s="758">
        <v>77.082861285396206</v>
      </c>
    </row>
    <row r="176" spans="1:8" x14ac:dyDescent="0.25">
      <c r="A176" s="289" t="s">
        <v>1004</v>
      </c>
      <c r="B176" s="758">
        <v>0</v>
      </c>
      <c r="C176" s="758">
        <v>0</v>
      </c>
      <c r="D176" s="758">
        <v>0</v>
      </c>
      <c r="E176" s="758">
        <v>0</v>
      </c>
      <c r="F176" s="758">
        <v>0</v>
      </c>
      <c r="G176" s="758">
        <v>0</v>
      </c>
      <c r="H176" s="758">
        <v>0</v>
      </c>
    </row>
    <row r="177" spans="1:8" x14ac:dyDescent="0.25">
      <c r="A177" s="946" t="s">
        <v>1005</v>
      </c>
      <c r="B177" s="947">
        <v>0</v>
      </c>
      <c r="C177" s="947">
        <v>2042.73125</v>
      </c>
      <c r="D177" s="947">
        <v>2109.3706000000002</v>
      </c>
      <c r="E177" s="947">
        <v>2178.0339869999998</v>
      </c>
      <c r="F177" s="947">
        <v>2248.7618917399996</v>
      </c>
      <c r="G177" s="947">
        <v>2321.5956045747994</v>
      </c>
      <c r="H177" s="947">
        <v>2398.678465860196</v>
      </c>
    </row>
    <row r="178" spans="1:8" x14ac:dyDescent="0.25">
      <c r="B178" s="758"/>
      <c r="C178" s="758"/>
      <c r="D178" s="758"/>
      <c r="E178" s="758"/>
      <c r="F178" s="758"/>
      <c r="G178" s="758"/>
      <c r="H178" s="758"/>
    </row>
    <row r="179" spans="1:8" x14ac:dyDescent="0.25">
      <c r="A179" s="289" t="s">
        <v>943</v>
      </c>
      <c r="B179" s="758">
        <v>0</v>
      </c>
      <c r="C179" s="758">
        <v>0</v>
      </c>
      <c r="D179" s="758">
        <v>0</v>
      </c>
      <c r="E179" s="758">
        <v>0</v>
      </c>
      <c r="F179" s="758">
        <v>0</v>
      </c>
      <c r="G179" s="758">
        <v>0</v>
      </c>
      <c r="H179" s="758">
        <v>0</v>
      </c>
    </row>
    <row r="180" spans="1:8" x14ac:dyDescent="0.25">
      <c r="A180" s="289" t="s">
        <v>1006</v>
      </c>
      <c r="B180" s="758">
        <v>0</v>
      </c>
      <c r="C180" s="758">
        <v>0</v>
      </c>
      <c r="D180" s="758">
        <v>0</v>
      </c>
      <c r="E180" s="758">
        <v>0</v>
      </c>
      <c r="F180" s="758">
        <v>0</v>
      </c>
      <c r="G180" s="758">
        <v>0</v>
      </c>
      <c r="H180" s="758">
        <v>0</v>
      </c>
    </row>
    <row r="181" spans="1:8" x14ac:dyDescent="0.25">
      <c r="A181" s="289" t="s">
        <v>1007</v>
      </c>
      <c r="B181" s="758">
        <v>0</v>
      </c>
      <c r="C181" s="758">
        <v>0</v>
      </c>
      <c r="D181" s="758">
        <v>0</v>
      </c>
      <c r="E181" s="758">
        <v>0</v>
      </c>
      <c r="F181" s="758">
        <v>0</v>
      </c>
      <c r="G181" s="758">
        <v>0</v>
      </c>
      <c r="H181" s="758">
        <v>0</v>
      </c>
    </row>
    <row r="182" spans="1:8" x14ac:dyDescent="0.25">
      <c r="A182" s="946" t="s">
        <v>1008</v>
      </c>
      <c r="B182" s="947">
        <v>0</v>
      </c>
      <c r="C182" s="947">
        <v>0</v>
      </c>
      <c r="D182" s="947">
        <v>0</v>
      </c>
      <c r="E182" s="947">
        <v>0</v>
      </c>
      <c r="F182" s="947">
        <v>0</v>
      </c>
      <c r="G182" s="947">
        <v>0</v>
      </c>
      <c r="H182" s="947">
        <v>0</v>
      </c>
    </row>
    <row r="183" spans="1:8" x14ac:dyDescent="0.25">
      <c r="B183" s="758"/>
      <c r="C183" s="758"/>
      <c r="D183" s="758"/>
      <c r="E183" s="758"/>
      <c r="F183" s="758"/>
      <c r="G183" s="758"/>
      <c r="H183" s="758"/>
    </row>
    <row r="184" spans="1:8" x14ac:dyDescent="0.25">
      <c r="A184" s="289" t="s">
        <v>1009</v>
      </c>
      <c r="B184" s="758">
        <v>0</v>
      </c>
      <c r="C184" s="758">
        <v>301.95180000000005</v>
      </c>
      <c r="D184" s="758">
        <v>307.99083599999994</v>
      </c>
      <c r="E184" s="758">
        <v>314.15065271999998</v>
      </c>
      <c r="F184" s="758">
        <v>320.43366577440003</v>
      </c>
      <c r="G184" s="758">
        <v>326.84233908988813</v>
      </c>
      <c r="H184" s="758">
        <v>333.37918587168593</v>
      </c>
    </row>
    <row r="185" spans="1:8" x14ac:dyDescent="0.25">
      <c r="A185" s="289" t="s">
        <v>1010</v>
      </c>
      <c r="B185" s="758">
        <v>0</v>
      </c>
      <c r="C185" s="758">
        <v>0</v>
      </c>
      <c r="D185" s="758">
        <v>0</v>
      </c>
      <c r="E185" s="758">
        <v>0</v>
      </c>
      <c r="F185" s="758">
        <v>0</v>
      </c>
      <c r="G185" s="758">
        <v>0</v>
      </c>
      <c r="H185" s="758">
        <v>0</v>
      </c>
    </row>
    <row r="186" spans="1:8" x14ac:dyDescent="0.25">
      <c r="A186" s="289" t="s">
        <v>1011</v>
      </c>
      <c r="B186" s="758">
        <v>0</v>
      </c>
      <c r="C186" s="758">
        <v>0</v>
      </c>
      <c r="D186" s="758">
        <v>40.190855999999997</v>
      </c>
      <c r="E186" s="758">
        <v>40.994673120000002</v>
      </c>
      <c r="F186" s="758">
        <v>41.814566582400005</v>
      </c>
      <c r="G186" s="758">
        <v>42.650857914047997</v>
      </c>
      <c r="H186" s="758">
        <v>43.503875072328967</v>
      </c>
    </row>
    <row r="187" spans="1:8" x14ac:dyDescent="0.25">
      <c r="A187" s="289" t="s">
        <v>1012</v>
      </c>
      <c r="B187" s="758">
        <v>0</v>
      </c>
      <c r="C187" s="758">
        <v>14.243749999999984</v>
      </c>
      <c r="D187" s="758">
        <v>17.085366666666662</v>
      </c>
      <c r="E187" s="758">
        <v>12.327198666666629</v>
      </c>
      <c r="F187" s="758">
        <v>11.33800080666666</v>
      </c>
      <c r="G187" s="758">
        <v>11.670752489466663</v>
      </c>
      <c r="H187" s="758">
        <v>12.908935012022379</v>
      </c>
    </row>
    <row r="188" spans="1:8" x14ac:dyDescent="0.25">
      <c r="A188" s="289" t="s">
        <v>1013</v>
      </c>
      <c r="B188" s="758">
        <v>0</v>
      </c>
      <c r="C188" s="758">
        <v>8.2243237499999982</v>
      </c>
      <c r="D188" s="758">
        <v>8.3888102249999985</v>
      </c>
      <c r="E188" s="758">
        <v>8.5565864295000047</v>
      </c>
      <c r="F188" s="758">
        <v>8.7277181580900116</v>
      </c>
      <c r="G188" s="758">
        <v>8.9022725212518097</v>
      </c>
      <c r="H188" s="758">
        <v>9.0803179716768536</v>
      </c>
    </row>
    <row r="189" spans="1:8" x14ac:dyDescent="0.25">
      <c r="A189" s="289" t="s">
        <v>1014</v>
      </c>
      <c r="B189" s="758">
        <v>0</v>
      </c>
      <c r="C189" s="758">
        <v>4.2466666666666661</v>
      </c>
      <c r="D189" s="758">
        <v>4.3315999999999999</v>
      </c>
      <c r="E189" s="758">
        <v>4.4182319999999962</v>
      </c>
      <c r="F189" s="758">
        <v>4.5065966399999926</v>
      </c>
      <c r="G189" s="758">
        <v>4.596728572799992</v>
      </c>
      <c r="H189" s="758">
        <v>4.6886631442559956</v>
      </c>
    </row>
    <row r="190" spans="1:8" x14ac:dyDescent="0.25">
      <c r="A190" s="289" t="s">
        <v>1015</v>
      </c>
      <c r="B190" s="758">
        <v>0</v>
      </c>
      <c r="C190" s="758">
        <v>2.3447910280083306E-13</v>
      </c>
      <c r="D190" s="758">
        <v>2.3447910280083306E-13</v>
      </c>
      <c r="E190" s="758">
        <v>2.3447910280083306E-13</v>
      </c>
      <c r="F190" s="758">
        <v>2.3447910280083306E-13</v>
      </c>
      <c r="G190" s="758">
        <v>2.3447910280083306E-13</v>
      </c>
      <c r="H190" s="758">
        <v>2.3447910280083306E-13</v>
      </c>
    </row>
    <row r="191" spans="1:8" x14ac:dyDescent="0.25">
      <c r="A191" s="289" t="s">
        <v>1016</v>
      </c>
      <c r="B191" s="758">
        <v>0</v>
      </c>
      <c r="C191" s="758">
        <v>0</v>
      </c>
      <c r="D191" s="758">
        <v>0</v>
      </c>
      <c r="E191" s="758">
        <v>0</v>
      </c>
      <c r="F191" s="758">
        <v>0</v>
      </c>
      <c r="G191" s="758">
        <v>0</v>
      </c>
      <c r="H191" s="758">
        <v>0</v>
      </c>
    </row>
    <row r="192" spans="1:8" x14ac:dyDescent="0.25">
      <c r="A192" s="289" t="s">
        <v>1017</v>
      </c>
      <c r="B192" s="758">
        <v>0</v>
      </c>
      <c r="C192" s="758">
        <v>32.866909583333154</v>
      </c>
      <c r="D192" s="758">
        <v>0</v>
      </c>
      <c r="E192" s="758">
        <v>0</v>
      </c>
      <c r="F192" s="758">
        <v>0</v>
      </c>
      <c r="G192" s="758">
        <v>0</v>
      </c>
      <c r="H192" s="758">
        <v>0</v>
      </c>
    </row>
    <row r="193" spans="1:8" x14ac:dyDescent="0.25">
      <c r="B193" s="758"/>
      <c r="C193" s="758"/>
      <c r="D193" s="758"/>
      <c r="E193" s="758"/>
      <c r="F193" s="758"/>
      <c r="G193" s="758"/>
      <c r="H193" s="758"/>
    </row>
    <row r="194" spans="1:8" x14ac:dyDescent="0.25">
      <c r="A194" s="946" t="s">
        <v>1018</v>
      </c>
      <c r="B194" s="947">
        <v>0</v>
      </c>
      <c r="C194" s="947">
        <v>361.53345000000007</v>
      </c>
      <c r="D194" s="947">
        <v>377.98746889166682</v>
      </c>
      <c r="E194" s="947">
        <v>380.44734293616682</v>
      </c>
      <c r="F194" s="947">
        <v>386.82054796155694</v>
      </c>
      <c r="G194" s="947">
        <v>394.66295058745482</v>
      </c>
      <c r="H194" s="947">
        <v>403.56097707197034</v>
      </c>
    </row>
    <row r="195" spans="1:8" x14ac:dyDescent="0.25">
      <c r="B195" s="758"/>
      <c r="C195" s="758"/>
      <c r="D195" s="758"/>
      <c r="E195" s="758"/>
      <c r="F195" s="758"/>
      <c r="G195" s="758"/>
      <c r="H195" s="758"/>
    </row>
    <row r="196" spans="1:8" x14ac:dyDescent="0.25">
      <c r="A196" s="946" t="s">
        <v>1019</v>
      </c>
      <c r="B196" s="947">
        <v>0</v>
      </c>
      <c r="C196" s="947">
        <v>2404.2647000000002</v>
      </c>
      <c r="D196" s="947">
        <v>2487.3580688916672</v>
      </c>
      <c r="E196" s="947">
        <v>2558.4813299361667</v>
      </c>
      <c r="F196" s="947">
        <v>2635.5824397015567</v>
      </c>
      <c r="G196" s="947">
        <v>2716.2585551622542</v>
      </c>
      <c r="H196" s="947">
        <v>2802.2394429321662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showGridLines="0" workbookViewId="0">
      <selection activeCell="A2" sqref="A2:I41"/>
    </sheetView>
  </sheetViews>
  <sheetFormatPr baseColWidth="10" defaultColWidth="9.140625" defaultRowHeight="15.75" x14ac:dyDescent="0.25"/>
  <cols>
    <col min="1" max="1" width="41.5703125" style="289" customWidth="1"/>
    <col min="2" max="2" width="15.5703125" style="289" customWidth="1"/>
    <col min="3" max="3" width="17.85546875" style="289" bestFit="1" customWidth="1"/>
    <col min="4" max="8" width="9.28515625" style="289" bestFit="1" customWidth="1"/>
    <col min="9" max="9" width="12.7109375" style="289" customWidth="1"/>
    <col min="10" max="16384" width="9.140625" style="289"/>
  </cols>
  <sheetData>
    <row r="2" spans="1:4" x14ac:dyDescent="0.25">
      <c r="A2" s="289" t="s">
        <v>1025</v>
      </c>
    </row>
    <row r="3" spans="1:4" x14ac:dyDescent="0.25">
      <c r="B3" s="758"/>
      <c r="C3" s="758"/>
      <c r="D3" s="758"/>
    </row>
    <row r="4" spans="1:4" x14ac:dyDescent="0.25">
      <c r="A4" s="288" t="s">
        <v>1026</v>
      </c>
      <c r="B4" s="758"/>
      <c r="C4" s="758" t="s">
        <v>1027</v>
      </c>
      <c r="D4" s="758"/>
    </row>
    <row r="5" spans="1:4" x14ac:dyDescent="0.25">
      <c r="A5" s="289" t="s">
        <v>1034</v>
      </c>
      <c r="B5" s="758">
        <v>75000</v>
      </c>
      <c r="C5" s="758">
        <f>+B5</f>
        <v>75000</v>
      </c>
      <c r="D5" s="758"/>
    </row>
    <row r="6" spans="1:4" x14ac:dyDescent="0.25">
      <c r="A6" s="289" t="s">
        <v>1028</v>
      </c>
      <c r="B6" s="758">
        <v>34000</v>
      </c>
      <c r="C6" s="758">
        <f>+B6</f>
        <v>34000</v>
      </c>
      <c r="D6" s="758"/>
    </row>
    <row r="7" spans="1:4" x14ac:dyDescent="0.25">
      <c r="A7" s="289" t="s">
        <v>1029</v>
      </c>
      <c r="B7" s="758">
        <v>24000</v>
      </c>
      <c r="C7" s="758">
        <f>+B7</f>
        <v>24000</v>
      </c>
      <c r="D7" s="758"/>
    </row>
    <row r="8" spans="1:4" x14ac:dyDescent="0.25">
      <c r="A8" s="289" t="s">
        <v>1030</v>
      </c>
      <c r="B8" s="758">
        <v>100000</v>
      </c>
      <c r="C8" s="758"/>
      <c r="D8" s="758"/>
    </row>
    <row r="9" spans="1:4" x14ac:dyDescent="0.25">
      <c r="A9" s="288" t="s">
        <v>1031</v>
      </c>
      <c r="B9" s="964">
        <f>SUM(B5:B8)</f>
        <v>233000</v>
      </c>
      <c r="C9" s="964">
        <f>SUM(C5:C8)</f>
        <v>133000</v>
      </c>
      <c r="D9" s="758"/>
    </row>
    <row r="10" spans="1:4" x14ac:dyDescent="0.25">
      <c r="B10" s="758"/>
      <c r="C10" s="758"/>
      <c r="D10" s="758"/>
    </row>
    <row r="11" spans="1:4" x14ac:dyDescent="0.25">
      <c r="A11" s="288" t="s">
        <v>426</v>
      </c>
      <c r="B11" s="758"/>
      <c r="C11" s="758"/>
      <c r="D11" s="758"/>
    </row>
    <row r="12" spans="1:4" x14ac:dyDescent="0.25">
      <c r="A12" s="289" t="s">
        <v>1032</v>
      </c>
      <c r="B12" s="758"/>
      <c r="C12" s="758">
        <f>+C34*1000</f>
        <v>741963.99935699988</v>
      </c>
      <c r="D12" s="758" t="s">
        <v>1274</v>
      </c>
    </row>
    <row r="13" spans="1:4" ht="16.5" thickBot="1" x14ac:dyDescent="0.3">
      <c r="B13" s="758"/>
      <c r="C13" s="758"/>
      <c r="D13" s="758"/>
    </row>
    <row r="14" spans="1:4" ht="16.5" thickBot="1" x14ac:dyDescent="0.3">
      <c r="A14" s="956" t="s">
        <v>1033</v>
      </c>
      <c r="B14" s="957"/>
      <c r="C14" s="958">
        <f>+C9+C12</f>
        <v>874963.99935699988</v>
      </c>
      <c r="D14" s="758"/>
    </row>
    <row r="15" spans="1:4" x14ac:dyDescent="0.25">
      <c r="B15" s="758"/>
      <c r="C15" s="758"/>
      <c r="D15" s="758"/>
    </row>
    <row r="17" spans="1:9" x14ac:dyDescent="0.25">
      <c r="A17" s="953" t="s">
        <v>343</v>
      </c>
      <c r="B17" s="953"/>
      <c r="C17" s="953">
        <v>2006</v>
      </c>
      <c r="D17" s="953">
        <v>2007</v>
      </c>
      <c r="E17" s="953">
        <v>2008</v>
      </c>
      <c r="F17" s="953">
        <v>2009</v>
      </c>
      <c r="G17" s="953">
        <v>2010</v>
      </c>
      <c r="H17" s="953">
        <v>2011</v>
      </c>
      <c r="I17" s="959" t="s">
        <v>341</v>
      </c>
    </row>
    <row r="18" spans="1:9" x14ac:dyDescent="0.25">
      <c r="A18" s="960" t="s">
        <v>281</v>
      </c>
      <c r="B18" s="960"/>
      <c r="C18" s="960">
        <v>56.974999999999852</v>
      </c>
      <c r="D18" s="960">
        <v>88.852466666666601</v>
      </c>
      <c r="E18" s="960">
        <v>91.551182666666477</v>
      </c>
      <c r="F18" s="960">
        <v>94.303872986666704</v>
      </c>
      <c r="G18" s="960">
        <v>97.111617113066359</v>
      </c>
      <c r="H18" s="960">
        <v>102.97551612199453</v>
      </c>
      <c r="I18" s="289">
        <f>+H18/H29</f>
        <v>1471.078801742779</v>
      </c>
    </row>
    <row r="19" spans="1:9" x14ac:dyDescent="0.25">
      <c r="A19" s="324" t="s">
        <v>282</v>
      </c>
      <c r="B19" s="324"/>
      <c r="C19" s="324">
        <v>34.562499999999993</v>
      </c>
      <c r="D19" s="324">
        <v>46.083333333333321</v>
      </c>
      <c r="E19" s="324">
        <v>46.083333333333321</v>
      </c>
      <c r="F19" s="324">
        <v>46.083333333333321</v>
      </c>
      <c r="G19" s="324">
        <v>46.083333333333321</v>
      </c>
      <c r="H19" s="324">
        <v>43.083333333333321</v>
      </c>
      <c r="I19" s="324"/>
    </row>
    <row r="20" spans="1:9" x14ac:dyDescent="0.25">
      <c r="A20" s="324" t="s">
        <v>420</v>
      </c>
      <c r="B20" s="324"/>
      <c r="C20" s="324">
        <v>0</v>
      </c>
      <c r="D20" s="324">
        <v>0</v>
      </c>
      <c r="E20" s="324">
        <v>0</v>
      </c>
      <c r="F20" s="324">
        <v>0</v>
      </c>
      <c r="G20" s="324">
        <v>0</v>
      </c>
      <c r="H20" s="324">
        <v>0</v>
      </c>
      <c r="I20" s="324"/>
    </row>
    <row r="21" spans="1:9" x14ac:dyDescent="0.25">
      <c r="A21" s="960" t="s">
        <v>80</v>
      </c>
      <c r="B21" s="960"/>
      <c r="C21" s="960">
        <v>91.537499999999852</v>
      </c>
      <c r="D21" s="960">
        <v>134.93579999999992</v>
      </c>
      <c r="E21" s="960">
        <v>137.63451599999979</v>
      </c>
      <c r="F21" s="960">
        <v>140.38720632000002</v>
      </c>
      <c r="G21" s="960">
        <v>143.19495044639967</v>
      </c>
      <c r="H21" s="960">
        <v>146.05884945532785</v>
      </c>
      <c r="I21" s="960"/>
    </row>
    <row r="22" spans="1:9" x14ac:dyDescent="0.25">
      <c r="A22" s="324" t="s">
        <v>421</v>
      </c>
      <c r="B22" s="324"/>
      <c r="C22" s="324">
        <v>-1700</v>
      </c>
      <c r="D22" s="324">
        <v>0</v>
      </c>
      <c r="E22" s="324">
        <v>0</v>
      </c>
      <c r="F22" s="324">
        <v>0</v>
      </c>
      <c r="G22" s="324">
        <v>0</v>
      </c>
      <c r="H22" s="324">
        <v>0</v>
      </c>
      <c r="I22" s="324">
        <v>1500</v>
      </c>
    </row>
    <row r="23" spans="1:9" x14ac:dyDescent="0.25">
      <c r="A23" s="324" t="s">
        <v>284</v>
      </c>
      <c r="B23" s="324"/>
      <c r="C23" s="324">
        <v>-407.16065958333303</v>
      </c>
      <c r="D23" s="324">
        <v>280.49372847500018</v>
      </c>
      <c r="E23" s="324">
        <v>-5.6332139554999827</v>
      </c>
      <c r="F23" s="324">
        <v>-1.881744734609839</v>
      </c>
      <c r="G23" s="324">
        <v>-0.57764612930224146</v>
      </c>
      <c r="H23" s="324">
        <v>0.30957675421159703</v>
      </c>
      <c r="I23" s="324"/>
    </row>
    <row r="24" spans="1:9" x14ac:dyDescent="0.25">
      <c r="A24" s="1450" t="s">
        <v>422</v>
      </c>
      <c r="B24" s="1450">
        <v>0</v>
      </c>
      <c r="C24" s="1450">
        <v>-2015.6231595833331</v>
      </c>
      <c r="D24" s="1450">
        <v>415.4295284750001</v>
      </c>
      <c r="E24" s="1450">
        <v>132.00130204449982</v>
      </c>
      <c r="F24" s="1450">
        <v>138.50546158539018</v>
      </c>
      <c r="G24" s="1450">
        <v>142.61730431709742</v>
      </c>
      <c r="H24" s="1450">
        <v>146.36842620953945</v>
      </c>
      <c r="I24" s="1450">
        <v>2971.078801742779</v>
      </c>
    </row>
    <row r="25" spans="1:9" x14ac:dyDescent="0.25">
      <c r="A25" s="324" t="s">
        <v>423</v>
      </c>
      <c r="B25" s="324"/>
      <c r="C25" s="324">
        <v>-14.243749999999963</v>
      </c>
      <c r="D25" s="324">
        <v>-22.21311666666665</v>
      </c>
      <c r="E25" s="324">
        <v>-22.887795666666619</v>
      </c>
      <c r="F25" s="324">
        <v>-23.57596824666669</v>
      </c>
      <c r="G25" s="324">
        <v>-24.27790427826659</v>
      </c>
      <c r="H25" s="324">
        <v>-25.892654836598375</v>
      </c>
      <c r="I25" s="324">
        <v>-441.3236405228339</v>
      </c>
    </row>
    <row r="26" spans="1:9" x14ac:dyDescent="0.25">
      <c r="A26" s="963" t="s">
        <v>424</v>
      </c>
      <c r="B26" s="963">
        <v>0</v>
      </c>
      <c r="C26" s="963">
        <v>-2029.8669095833329</v>
      </c>
      <c r="D26" s="963">
        <v>393.21641180833342</v>
      </c>
      <c r="E26" s="963">
        <v>109.1135063778332</v>
      </c>
      <c r="F26" s="963">
        <v>114.92949333872349</v>
      </c>
      <c r="G26" s="963">
        <v>118.33940003883083</v>
      </c>
      <c r="H26" s="963">
        <v>120.47577137294107</v>
      </c>
      <c r="I26" s="963">
        <v>2529.755161219945</v>
      </c>
    </row>
    <row r="28" spans="1:9" x14ac:dyDescent="0.25">
      <c r="A28" s="289" t="s">
        <v>260</v>
      </c>
      <c r="B28" s="294">
        <v>0</v>
      </c>
      <c r="C28" s="294">
        <v>0</v>
      </c>
      <c r="D28" s="294">
        <v>0</v>
      </c>
      <c r="E28" s="294">
        <v>0</v>
      </c>
      <c r="F28" s="294">
        <v>0</v>
      </c>
      <c r="G28" s="294">
        <v>0</v>
      </c>
      <c r="H28" s="294">
        <v>0</v>
      </c>
    </row>
    <row r="29" spans="1:9" x14ac:dyDescent="0.25">
      <c r="A29" s="289" t="s">
        <v>276</v>
      </c>
      <c r="B29" s="294" t="s">
        <v>1276</v>
      </c>
      <c r="C29" s="294">
        <v>7.0000000000000007E-2</v>
      </c>
      <c r="D29" s="294">
        <v>7.0000000000000007E-2</v>
      </c>
      <c r="E29" s="294">
        <v>7.0000000000000007E-2</v>
      </c>
      <c r="F29" s="294">
        <v>7.0000000000000007E-2</v>
      </c>
      <c r="G29" s="294">
        <v>7.0000000000000007E-2</v>
      </c>
      <c r="H29" s="294">
        <v>7.0000000000000007E-2</v>
      </c>
    </row>
    <row r="30" spans="1:9" x14ac:dyDescent="0.25">
      <c r="A30" s="289" t="s">
        <v>344</v>
      </c>
      <c r="C30" s="289">
        <v>1</v>
      </c>
      <c r="D30" s="289">
        <v>1</v>
      </c>
      <c r="E30" s="289">
        <v>1</v>
      </c>
      <c r="F30" s="289">
        <v>1</v>
      </c>
      <c r="G30" s="289">
        <v>1</v>
      </c>
      <c r="H30" s="289">
        <v>1</v>
      </c>
    </row>
    <row r="31" spans="1:9" x14ac:dyDescent="0.25">
      <c r="A31" s="289" t="s">
        <v>345</v>
      </c>
      <c r="C31" s="289">
        <v>0</v>
      </c>
      <c r="D31" s="289">
        <v>0</v>
      </c>
      <c r="E31" s="289">
        <v>0</v>
      </c>
      <c r="F31" s="289">
        <v>0</v>
      </c>
      <c r="G31" s="289">
        <v>0</v>
      </c>
      <c r="H31" s="289">
        <v>0</v>
      </c>
    </row>
    <row r="32" spans="1:9" x14ac:dyDescent="0.25">
      <c r="A32" s="289" t="s">
        <v>278</v>
      </c>
      <c r="C32" s="294">
        <v>7.0000000000000007E-2</v>
      </c>
      <c r="D32" s="294">
        <v>7.0000000000000007E-2</v>
      </c>
      <c r="E32" s="294">
        <v>7.0000000000000007E-2</v>
      </c>
      <c r="F32" s="294">
        <v>7.0000000000000007E-2</v>
      </c>
      <c r="G32" s="294">
        <v>7.0000000000000007E-2</v>
      </c>
      <c r="H32" s="294">
        <v>7.0000000000000007E-2</v>
      </c>
    </row>
    <row r="34" spans="1:7" x14ac:dyDescent="0.25">
      <c r="A34" s="953" t="s">
        <v>1020</v>
      </c>
      <c r="B34" s="953"/>
      <c r="C34" s="1451">
        <f>+NPV(+C32,C24:I24)+B24</f>
        <v>741.96399935699992</v>
      </c>
      <c r="D34" s="953" t="s">
        <v>1273</v>
      </c>
      <c r="E34" s="953"/>
      <c r="F34" s="953"/>
      <c r="G34" s="953"/>
    </row>
    <row r="35" spans="1:7" x14ac:dyDescent="0.25">
      <c r="A35" s="707" t="s">
        <v>1021</v>
      </c>
      <c r="B35" s="707"/>
      <c r="C35" s="1452">
        <f>+NPV(+C32,C26:I26)+B26</f>
        <v>363.18367214792693</v>
      </c>
    </row>
    <row r="37" spans="1:7" x14ac:dyDescent="0.25">
      <c r="A37" s="289" t="s">
        <v>1022</v>
      </c>
      <c r="C37" s="961">
        <v>0.10987675523793938</v>
      </c>
    </row>
    <row r="38" spans="1:7" x14ac:dyDescent="0.25">
      <c r="A38" s="289" t="s">
        <v>1023</v>
      </c>
      <c r="C38" s="289">
        <v>0</v>
      </c>
    </row>
    <row r="39" spans="1:7" x14ac:dyDescent="0.25">
      <c r="A39" s="953" t="s">
        <v>1024</v>
      </c>
      <c r="B39" s="953"/>
      <c r="C39" s="962">
        <f>+C35-C38</f>
        <v>363.18367214792693</v>
      </c>
      <c r="D39" s="289" t="s">
        <v>1275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1"/>
  <sheetViews>
    <sheetView showGridLines="0" topLeftCell="A59" workbookViewId="0">
      <selection activeCell="A137" sqref="A137"/>
    </sheetView>
  </sheetViews>
  <sheetFormatPr baseColWidth="10" defaultColWidth="11.42578125" defaultRowHeight="15.75" x14ac:dyDescent="0.25"/>
  <cols>
    <col min="1" max="1" width="29.85546875" style="670" customWidth="1"/>
    <col min="2" max="5" width="13.7109375" style="670" bestFit="1" customWidth="1"/>
    <col min="6" max="6" width="13.7109375" style="670" customWidth="1"/>
    <col min="7" max="7" width="9.140625" style="670" customWidth="1"/>
    <col min="8" max="8" width="10.5703125" style="670" customWidth="1"/>
    <col min="9" max="21" width="9.140625" style="670" customWidth="1"/>
    <col min="22" max="256" width="11.42578125" style="671"/>
    <col min="257" max="257" width="40.42578125" style="671" customWidth="1"/>
    <col min="258" max="261" width="13.7109375" style="671" bestFit="1" customWidth="1"/>
    <col min="262" max="262" width="13.7109375" style="671" customWidth="1"/>
    <col min="263" max="277" width="9.140625" style="671" customWidth="1"/>
    <col min="278" max="512" width="11.42578125" style="671"/>
    <col min="513" max="513" width="40.42578125" style="671" customWidth="1"/>
    <col min="514" max="517" width="13.7109375" style="671" bestFit="1" customWidth="1"/>
    <col min="518" max="518" width="13.7109375" style="671" customWidth="1"/>
    <col min="519" max="533" width="9.140625" style="671" customWidth="1"/>
    <col min="534" max="768" width="11.42578125" style="671"/>
    <col min="769" max="769" width="40.42578125" style="671" customWidth="1"/>
    <col min="770" max="773" width="13.7109375" style="671" bestFit="1" customWidth="1"/>
    <col min="774" max="774" width="13.7109375" style="671" customWidth="1"/>
    <col min="775" max="789" width="9.140625" style="671" customWidth="1"/>
    <col min="790" max="1024" width="11.42578125" style="671"/>
    <col min="1025" max="1025" width="40.42578125" style="671" customWidth="1"/>
    <col min="1026" max="1029" width="13.7109375" style="671" bestFit="1" customWidth="1"/>
    <col min="1030" max="1030" width="13.7109375" style="671" customWidth="1"/>
    <col min="1031" max="1045" width="9.140625" style="671" customWidth="1"/>
    <col min="1046" max="1280" width="11.42578125" style="671"/>
    <col min="1281" max="1281" width="40.42578125" style="671" customWidth="1"/>
    <col min="1282" max="1285" width="13.7109375" style="671" bestFit="1" customWidth="1"/>
    <col min="1286" max="1286" width="13.7109375" style="671" customWidth="1"/>
    <col min="1287" max="1301" width="9.140625" style="671" customWidth="1"/>
    <col min="1302" max="1536" width="11.42578125" style="671"/>
    <col min="1537" max="1537" width="40.42578125" style="671" customWidth="1"/>
    <col min="1538" max="1541" width="13.7109375" style="671" bestFit="1" customWidth="1"/>
    <col min="1542" max="1542" width="13.7109375" style="671" customWidth="1"/>
    <col min="1543" max="1557" width="9.140625" style="671" customWidth="1"/>
    <col min="1558" max="1792" width="11.42578125" style="671"/>
    <col min="1793" max="1793" width="40.42578125" style="671" customWidth="1"/>
    <col min="1794" max="1797" width="13.7109375" style="671" bestFit="1" customWidth="1"/>
    <col min="1798" max="1798" width="13.7109375" style="671" customWidth="1"/>
    <col min="1799" max="1813" width="9.140625" style="671" customWidth="1"/>
    <col min="1814" max="2048" width="11.42578125" style="671"/>
    <col min="2049" max="2049" width="40.42578125" style="671" customWidth="1"/>
    <col min="2050" max="2053" width="13.7109375" style="671" bestFit="1" customWidth="1"/>
    <col min="2054" max="2054" width="13.7109375" style="671" customWidth="1"/>
    <col min="2055" max="2069" width="9.140625" style="671" customWidth="1"/>
    <col min="2070" max="2304" width="11.42578125" style="671"/>
    <col min="2305" max="2305" width="40.42578125" style="671" customWidth="1"/>
    <col min="2306" max="2309" width="13.7109375" style="671" bestFit="1" customWidth="1"/>
    <col min="2310" max="2310" width="13.7109375" style="671" customWidth="1"/>
    <col min="2311" max="2325" width="9.140625" style="671" customWidth="1"/>
    <col min="2326" max="2560" width="11.42578125" style="671"/>
    <col min="2561" max="2561" width="40.42578125" style="671" customWidth="1"/>
    <col min="2562" max="2565" width="13.7109375" style="671" bestFit="1" customWidth="1"/>
    <col min="2566" max="2566" width="13.7109375" style="671" customWidth="1"/>
    <col min="2567" max="2581" width="9.140625" style="671" customWidth="1"/>
    <col min="2582" max="2816" width="11.42578125" style="671"/>
    <col min="2817" max="2817" width="40.42578125" style="671" customWidth="1"/>
    <col min="2818" max="2821" width="13.7109375" style="671" bestFit="1" customWidth="1"/>
    <col min="2822" max="2822" width="13.7109375" style="671" customWidth="1"/>
    <col min="2823" max="2837" width="9.140625" style="671" customWidth="1"/>
    <col min="2838" max="3072" width="11.42578125" style="671"/>
    <col min="3073" max="3073" width="40.42578125" style="671" customWidth="1"/>
    <col min="3074" max="3077" width="13.7109375" style="671" bestFit="1" customWidth="1"/>
    <col min="3078" max="3078" width="13.7109375" style="671" customWidth="1"/>
    <col min="3079" max="3093" width="9.140625" style="671" customWidth="1"/>
    <col min="3094" max="3328" width="11.42578125" style="671"/>
    <col min="3329" max="3329" width="40.42578125" style="671" customWidth="1"/>
    <col min="3330" max="3333" width="13.7109375" style="671" bestFit="1" customWidth="1"/>
    <col min="3334" max="3334" width="13.7109375" style="671" customWidth="1"/>
    <col min="3335" max="3349" width="9.140625" style="671" customWidth="1"/>
    <col min="3350" max="3584" width="11.42578125" style="671"/>
    <col min="3585" max="3585" width="40.42578125" style="671" customWidth="1"/>
    <col min="3586" max="3589" width="13.7109375" style="671" bestFit="1" customWidth="1"/>
    <col min="3590" max="3590" width="13.7109375" style="671" customWidth="1"/>
    <col min="3591" max="3605" width="9.140625" style="671" customWidth="1"/>
    <col min="3606" max="3840" width="11.42578125" style="671"/>
    <col min="3841" max="3841" width="40.42578125" style="671" customWidth="1"/>
    <col min="3842" max="3845" width="13.7109375" style="671" bestFit="1" customWidth="1"/>
    <col min="3846" max="3846" width="13.7109375" style="671" customWidth="1"/>
    <col min="3847" max="3861" width="9.140625" style="671" customWidth="1"/>
    <col min="3862" max="4096" width="11.42578125" style="671"/>
    <col min="4097" max="4097" width="40.42578125" style="671" customWidth="1"/>
    <col min="4098" max="4101" width="13.7109375" style="671" bestFit="1" customWidth="1"/>
    <col min="4102" max="4102" width="13.7109375" style="671" customWidth="1"/>
    <col min="4103" max="4117" width="9.140625" style="671" customWidth="1"/>
    <col min="4118" max="4352" width="11.42578125" style="671"/>
    <col min="4353" max="4353" width="40.42578125" style="671" customWidth="1"/>
    <col min="4354" max="4357" width="13.7109375" style="671" bestFit="1" customWidth="1"/>
    <col min="4358" max="4358" width="13.7109375" style="671" customWidth="1"/>
    <col min="4359" max="4373" width="9.140625" style="671" customWidth="1"/>
    <col min="4374" max="4608" width="11.42578125" style="671"/>
    <col min="4609" max="4609" width="40.42578125" style="671" customWidth="1"/>
    <col min="4610" max="4613" width="13.7109375" style="671" bestFit="1" customWidth="1"/>
    <col min="4614" max="4614" width="13.7109375" style="671" customWidth="1"/>
    <col min="4615" max="4629" width="9.140625" style="671" customWidth="1"/>
    <col min="4630" max="4864" width="11.42578125" style="671"/>
    <col min="4865" max="4865" width="40.42578125" style="671" customWidth="1"/>
    <col min="4866" max="4869" width="13.7109375" style="671" bestFit="1" customWidth="1"/>
    <col min="4870" max="4870" width="13.7109375" style="671" customWidth="1"/>
    <col min="4871" max="4885" width="9.140625" style="671" customWidth="1"/>
    <col min="4886" max="5120" width="11.42578125" style="671"/>
    <col min="5121" max="5121" width="40.42578125" style="671" customWidth="1"/>
    <col min="5122" max="5125" width="13.7109375" style="671" bestFit="1" customWidth="1"/>
    <col min="5126" max="5126" width="13.7109375" style="671" customWidth="1"/>
    <col min="5127" max="5141" width="9.140625" style="671" customWidth="1"/>
    <col min="5142" max="5376" width="11.42578125" style="671"/>
    <col min="5377" max="5377" width="40.42578125" style="671" customWidth="1"/>
    <col min="5378" max="5381" width="13.7109375" style="671" bestFit="1" customWidth="1"/>
    <col min="5382" max="5382" width="13.7109375" style="671" customWidth="1"/>
    <col min="5383" max="5397" width="9.140625" style="671" customWidth="1"/>
    <col min="5398" max="5632" width="11.42578125" style="671"/>
    <col min="5633" max="5633" width="40.42578125" style="671" customWidth="1"/>
    <col min="5634" max="5637" width="13.7109375" style="671" bestFit="1" customWidth="1"/>
    <col min="5638" max="5638" width="13.7109375" style="671" customWidth="1"/>
    <col min="5639" max="5653" width="9.140625" style="671" customWidth="1"/>
    <col min="5654" max="5888" width="11.42578125" style="671"/>
    <col min="5889" max="5889" width="40.42578125" style="671" customWidth="1"/>
    <col min="5890" max="5893" width="13.7109375" style="671" bestFit="1" customWidth="1"/>
    <col min="5894" max="5894" width="13.7109375" style="671" customWidth="1"/>
    <col min="5895" max="5909" width="9.140625" style="671" customWidth="1"/>
    <col min="5910" max="6144" width="11.42578125" style="671"/>
    <col min="6145" max="6145" width="40.42578125" style="671" customWidth="1"/>
    <col min="6146" max="6149" width="13.7109375" style="671" bestFit="1" customWidth="1"/>
    <col min="6150" max="6150" width="13.7109375" style="671" customWidth="1"/>
    <col min="6151" max="6165" width="9.140625" style="671" customWidth="1"/>
    <col min="6166" max="6400" width="11.42578125" style="671"/>
    <col min="6401" max="6401" width="40.42578125" style="671" customWidth="1"/>
    <col min="6402" max="6405" width="13.7109375" style="671" bestFit="1" customWidth="1"/>
    <col min="6406" max="6406" width="13.7109375" style="671" customWidth="1"/>
    <col min="6407" max="6421" width="9.140625" style="671" customWidth="1"/>
    <col min="6422" max="6656" width="11.42578125" style="671"/>
    <col min="6657" max="6657" width="40.42578125" style="671" customWidth="1"/>
    <col min="6658" max="6661" width="13.7109375" style="671" bestFit="1" customWidth="1"/>
    <col min="6662" max="6662" width="13.7109375" style="671" customWidth="1"/>
    <col min="6663" max="6677" width="9.140625" style="671" customWidth="1"/>
    <col min="6678" max="6912" width="11.42578125" style="671"/>
    <col min="6913" max="6913" width="40.42578125" style="671" customWidth="1"/>
    <col min="6914" max="6917" width="13.7109375" style="671" bestFit="1" customWidth="1"/>
    <col min="6918" max="6918" width="13.7109375" style="671" customWidth="1"/>
    <col min="6919" max="6933" width="9.140625" style="671" customWidth="1"/>
    <col min="6934" max="7168" width="11.42578125" style="671"/>
    <col min="7169" max="7169" width="40.42578125" style="671" customWidth="1"/>
    <col min="7170" max="7173" width="13.7109375" style="671" bestFit="1" customWidth="1"/>
    <col min="7174" max="7174" width="13.7109375" style="671" customWidth="1"/>
    <col min="7175" max="7189" width="9.140625" style="671" customWidth="1"/>
    <col min="7190" max="7424" width="11.42578125" style="671"/>
    <col min="7425" max="7425" width="40.42578125" style="671" customWidth="1"/>
    <col min="7426" max="7429" width="13.7109375" style="671" bestFit="1" customWidth="1"/>
    <col min="7430" max="7430" width="13.7109375" style="671" customWidth="1"/>
    <col min="7431" max="7445" width="9.140625" style="671" customWidth="1"/>
    <col min="7446" max="7680" width="11.42578125" style="671"/>
    <col min="7681" max="7681" width="40.42578125" style="671" customWidth="1"/>
    <col min="7682" max="7685" width="13.7109375" style="671" bestFit="1" customWidth="1"/>
    <col min="7686" max="7686" width="13.7109375" style="671" customWidth="1"/>
    <col min="7687" max="7701" width="9.140625" style="671" customWidth="1"/>
    <col min="7702" max="7936" width="11.42578125" style="671"/>
    <col min="7937" max="7937" width="40.42578125" style="671" customWidth="1"/>
    <col min="7938" max="7941" width="13.7109375" style="671" bestFit="1" customWidth="1"/>
    <col min="7942" max="7942" width="13.7109375" style="671" customWidth="1"/>
    <col min="7943" max="7957" width="9.140625" style="671" customWidth="1"/>
    <col min="7958" max="8192" width="11.42578125" style="671"/>
    <col min="8193" max="8193" width="40.42578125" style="671" customWidth="1"/>
    <col min="8194" max="8197" width="13.7109375" style="671" bestFit="1" customWidth="1"/>
    <col min="8198" max="8198" width="13.7109375" style="671" customWidth="1"/>
    <col min="8199" max="8213" width="9.140625" style="671" customWidth="1"/>
    <col min="8214" max="8448" width="11.42578125" style="671"/>
    <col min="8449" max="8449" width="40.42578125" style="671" customWidth="1"/>
    <col min="8450" max="8453" width="13.7109375" style="671" bestFit="1" customWidth="1"/>
    <col min="8454" max="8454" width="13.7109375" style="671" customWidth="1"/>
    <col min="8455" max="8469" width="9.140625" style="671" customWidth="1"/>
    <col min="8470" max="8704" width="11.42578125" style="671"/>
    <col min="8705" max="8705" width="40.42578125" style="671" customWidth="1"/>
    <col min="8706" max="8709" width="13.7109375" style="671" bestFit="1" customWidth="1"/>
    <col min="8710" max="8710" width="13.7109375" style="671" customWidth="1"/>
    <col min="8711" max="8725" width="9.140625" style="671" customWidth="1"/>
    <col min="8726" max="8960" width="11.42578125" style="671"/>
    <col min="8961" max="8961" width="40.42578125" style="671" customWidth="1"/>
    <col min="8962" max="8965" width="13.7109375" style="671" bestFit="1" customWidth="1"/>
    <col min="8966" max="8966" width="13.7109375" style="671" customWidth="1"/>
    <col min="8967" max="8981" width="9.140625" style="671" customWidth="1"/>
    <col min="8982" max="9216" width="11.42578125" style="671"/>
    <col min="9217" max="9217" width="40.42578125" style="671" customWidth="1"/>
    <col min="9218" max="9221" width="13.7109375" style="671" bestFit="1" customWidth="1"/>
    <col min="9222" max="9222" width="13.7109375" style="671" customWidth="1"/>
    <col min="9223" max="9237" width="9.140625" style="671" customWidth="1"/>
    <col min="9238" max="9472" width="11.42578125" style="671"/>
    <col min="9473" max="9473" width="40.42578125" style="671" customWidth="1"/>
    <col min="9474" max="9477" width="13.7109375" style="671" bestFit="1" customWidth="1"/>
    <col min="9478" max="9478" width="13.7109375" style="671" customWidth="1"/>
    <col min="9479" max="9493" width="9.140625" style="671" customWidth="1"/>
    <col min="9494" max="9728" width="11.42578125" style="671"/>
    <col min="9729" max="9729" width="40.42578125" style="671" customWidth="1"/>
    <col min="9730" max="9733" width="13.7109375" style="671" bestFit="1" customWidth="1"/>
    <col min="9734" max="9734" width="13.7109375" style="671" customWidth="1"/>
    <col min="9735" max="9749" width="9.140625" style="671" customWidth="1"/>
    <col min="9750" max="9984" width="11.42578125" style="671"/>
    <col min="9985" max="9985" width="40.42578125" style="671" customWidth="1"/>
    <col min="9986" max="9989" width="13.7109375" style="671" bestFit="1" customWidth="1"/>
    <col min="9990" max="9990" width="13.7109375" style="671" customWidth="1"/>
    <col min="9991" max="10005" width="9.140625" style="671" customWidth="1"/>
    <col min="10006" max="10240" width="11.42578125" style="671"/>
    <col min="10241" max="10241" width="40.42578125" style="671" customWidth="1"/>
    <col min="10242" max="10245" width="13.7109375" style="671" bestFit="1" customWidth="1"/>
    <col min="10246" max="10246" width="13.7109375" style="671" customWidth="1"/>
    <col min="10247" max="10261" width="9.140625" style="671" customWidth="1"/>
    <col min="10262" max="10496" width="11.42578125" style="671"/>
    <col min="10497" max="10497" width="40.42578125" style="671" customWidth="1"/>
    <col min="10498" max="10501" width="13.7109375" style="671" bestFit="1" customWidth="1"/>
    <col min="10502" max="10502" width="13.7109375" style="671" customWidth="1"/>
    <col min="10503" max="10517" width="9.140625" style="671" customWidth="1"/>
    <col min="10518" max="10752" width="11.42578125" style="671"/>
    <col min="10753" max="10753" width="40.42578125" style="671" customWidth="1"/>
    <col min="10754" max="10757" width="13.7109375" style="671" bestFit="1" customWidth="1"/>
    <col min="10758" max="10758" width="13.7109375" style="671" customWidth="1"/>
    <col min="10759" max="10773" width="9.140625" style="671" customWidth="1"/>
    <col min="10774" max="11008" width="11.42578125" style="671"/>
    <col min="11009" max="11009" width="40.42578125" style="671" customWidth="1"/>
    <col min="11010" max="11013" width="13.7109375" style="671" bestFit="1" customWidth="1"/>
    <col min="11014" max="11014" width="13.7109375" style="671" customWidth="1"/>
    <col min="11015" max="11029" width="9.140625" style="671" customWidth="1"/>
    <col min="11030" max="11264" width="11.42578125" style="671"/>
    <col min="11265" max="11265" width="40.42578125" style="671" customWidth="1"/>
    <col min="11266" max="11269" width="13.7109375" style="671" bestFit="1" customWidth="1"/>
    <col min="11270" max="11270" width="13.7109375" style="671" customWidth="1"/>
    <col min="11271" max="11285" width="9.140625" style="671" customWidth="1"/>
    <col min="11286" max="11520" width="11.42578125" style="671"/>
    <col min="11521" max="11521" width="40.42578125" style="671" customWidth="1"/>
    <col min="11522" max="11525" width="13.7109375" style="671" bestFit="1" customWidth="1"/>
    <col min="11526" max="11526" width="13.7109375" style="671" customWidth="1"/>
    <col min="11527" max="11541" width="9.140625" style="671" customWidth="1"/>
    <col min="11542" max="11776" width="11.42578125" style="671"/>
    <col min="11777" max="11777" width="40.42578125" style="671" customWidth="1"/>
    <col min="11778" max="11781" width="13.7109375" style="671" bestFit="1" customWidth="1"/>
    <col min="11782" max="11782" width="13.7109375" style="671" customWidth="1"/>
    <col min="11783" max="11797" width="9.140625" style="671" customWidth="1"/>
    <col min="11798" max="12032" width="11.42578125" style="671"/>
    <col min="12033" max="12033" width="40.42578125" style="671" customWidth="1"/>
    <col min="12034" max="12037" width="13.7109375" style="671" bestFit="1" customWidth="1"/>
    <col min="12038" max="12038" width="13.7109375" style="671" customWidth="1"/>
    <col min="12039" max="12053" width="9.140625" style="671" customWidth="1"/>
    <col min="12054" max="12288" width="11.42578125" style="671"/>
    <col min="12289" max="12289" width="40.42578125" style="671" customWidth="1"/>
    <col min="12290" max="12293" width="13.7109375" style="671" bestFit="1" customWidth="1"/>
    <col min="12294" max="12294" width="13.7109375" style="671" customWidth="1"/>
    <col min="12295" max="12309" width="9.140625" style="671" customWidth="1"/>
    <col min="12310" max="12544" width="11.42578125" style="671"/>
    <col min="12545" max="12545" width="40.42578125" style="671" customWidth="1"/>
    <col min="12546" max="12549" width="13.7109375" style="671" bestFit="1" customWidth="1"/>
    <col min="12550" max="12550" width="13.7109375" style="671" customWidth="1"/>
    <col min="12551" max="12565" width="9.140625" style="671" customWidth="1"/>
    <col min="12566" max="12800" width="11.42578125" style="671"/>
    <col min="12801" max="12801" width="40.42578125" style="671" customWidth="1"/>
    <col min="12802" max="12805" width="13.7109375" style="671" bestFit="1" customWidth="1"/>
    <col min="12806" max="12806" width="13.7109375" style="671" customWidth="1"/>
    <col min="12807" max="12821" width="9.140625" style="671" customWidth="1"/>
    <col min="12822" max="13056" width="11.42578125" style="671"/>
    <col min="13057" max="13057" width="40.42578125" style="671" customWidth="1"/>
    <col min="13058" max="13061" width="13.7109375" style="671" bestFit="1" customWidth="1"/>
    <col min="13062" max="13062" width="13.7109375" style="671" customWidth="1"/>
    <col min="13063" max="13077" width="9.140625" style="671" customWidth="1"/>
    <col min="13078" max="13312" width="11.42578125" style="671"/>
    <col min="13313" max="13313" width="40.42578125" style="671" customWidth="1"/>
    <col min="13314" max="13317" width="13.7109375" style="671" bestFit="1" customWidth="1"/>
    <col min="13318" max="13318" width="13.7109375" style="671" customWidth="1"/>
    <col min="13319" max="13333" width="9.140625" style="671" customWidth="1"/>
    <col min="13334" max="13568" width="11.42578125" style="671"/>
    <col min="13569" max="13569" width="40.42578125" style="671" customWidth="1"/>
    <col min="13570" max="13573" width="13.7109375" style="671" bestFit="1" customWidth="1"/>
    <col min="13574" max="13574" width="13.7109375" style="671" customWidth="1"/>
    <col min="13575" max="13589" width="9.140625" style="671" customWidth="1"/>
    <col min="13590" max="13824" width="11.42578125" style="671"/>
    <col min="13825" max="13825" width="40.42578125" style="671" customWidth="1"/>
    <col min="13826" max="13829" width="13.7109375" style="671" bestFit="1" customWidth="1"/>
    <col min="13830" max="13830" width="13.7109375" style="671" customWidth="1"/>
    <col min="13831" max="13845" width="9.140625" style="671" customWidth="1"/>
    <col min="13846" max="14080" width="11.42578125" style="671"/>
    <col min="14081" max="14081" width="40.42578125" style="671" customWidth="1"/>
    <col min="14082" max="14085" width="13.7109375" style="671" bestFit="1" customWidth="1"/>
    <col min="14086" max="14086" width="13.7109375" style="671" customWidth="1"/>
    <col min="14087" max="14101" width="9.140625" style="671" customWidth="1"/>
    <col min="14102" max="14336" width="11.42578125" style="671"/>
    <col min="14337" max="14337" width="40.42578125" style="671" customWidth="1"/>
    <col min="14338" max="14341" width="13.7109375" style="671" bestFit="1" customWidth="1"/>
    <col min="14342" max="14342" width="13.7109375" style="671" customWidth="1"/>
    <col min="14343" max="14357" width="9.140625" style="671" customWidth="1"/>
    <col min="14358" max="14592" width="11.42578125" style="671"/>
    <col min="14593" max="14593" width="40.42578125" style="671" customWidth="1"/>
    <col min="14594" max="14597" width="13.7109375" style="671" bestFit="1" customWidth="1"/>
    <col min="14598" max="14598" width="13.7109375" style="671" customWidth="1"/>
    <col min="14599" max="14613" width="9.140625" style="671" customWidth="1"/>
    <col min="14614" max="14848" width="11.42578125" style="671"/>
    <col min="14849" max="14849" width="40.42578125" style="671" customWidth="1"/>
    <col min="14850" max="14853" width="13.7109375" style="671" bestFit="1" customWidth="1"/>
    <col min="14854" max="14854" width="13.7109375" style="671" customWidth="1"/>
    <col min="14855" max="14869" width="9.140625" style="671" customWidth="1"/>
    <col min="14870" max="15104" width="11.42578125" style="671"/>
    <col min="15105" max="15105" width="40.42578125" style="671" customWidth="1"/>
    <col min="15106" max="15109" width="13.7109375" style="671" bestFit="1" customWidth="1"/>
    <col min="15110" max="15110" width="13.7109375" style="671" customWidth="1"/>
    <col min="15111" max="15125" width="9.140625" style="671" customWidth="1"/>
    <col min="15126" max="15360" width="11.42578125" style="671"/>
    <col min="15361" max="15361" width="40.42578125" style="671" customWidth="1"/>
    <col min="15362" max="15365" width="13.7109375" style="671" bestFit="1" customWidth="1"/>
    <col min="15366" max="15366" width="13.7109375" style="671" customWidth="1"/>
    <col min="15367" max="15381" width="9.140625" style="671" customWidth="1"/>
    <col min="15382" max="15616" width="11.42578125" style="671"/>
    <col min="15617" max="15617" width="40.42578125" style="671" customWidth="1"/>
    <col min="15618" max="15621" width="13.7109375" style="671" bestFit="1" customWidth="1"/>
    <col min="15622" max="15622" width="13.7109375" style="671" customWidth="1"/>
    <col min="15623" max="15637" width="9.140625" style="671" customWidth="1"/>
    <col min="15638" max="15872" width="11.42578125" style="671"/>
    <col min="15873" max="15873" width="40.42578125" style="671" customWidth="1"/>
    <col min="15874" max="15877" width="13.7109375" style="671" bestFit="1" customWidth="1"/>
    <col min="15878" max="15878" width="13.7109375" style="671" customWidth="1"/>
    <col min="15879" max="15893" width="9.140625" style="671" customWidth="1"/>
    <col min="15894" max="16128" width="11.42578125" style="671"/>
    <col min="16129" max="16129" width="40.42578125" style="671" customWidth="1"/>
    <col min="16130" max="16133" width="13.7109375" style="671" bestFit="1" customWidth="1"/>
    <col min="16134" max="16134" width="13.7109375" style="671" customWidth="1"/>
    <col min="16135" max="16149" width="9.140625" style="671" customWidth="1"/>
    <col min="16150" max="16384" width="11.42578125" style="671"/>
  </cols>
  <sheetData>
    <row r="1" spans="1:6" ht="11.45" customHeight="1" x14ac:dyDescent="0.25">
      <c r="A1" s="671"/>
    </row>
    <row r="2" spans="1:6" ht="17.100000000000001" customHeight="1" x14ac:dyDescent="0.25">
      <c r="A2" s="885"/>
      <c r="B2" s="671"/>
      <c r="C2" s="671"/>
      <c r="D2" s="671"/>
      <c r="E2" s="671"/>
    </row>
    <row r="3" spans="1:6" ht="17.100000000000001" customHeight="1" x14ac:dyDescent="0.25">
      <c r="A3" s="885" t="s">
        <v>1035</v>
      </c>
      <c r="B3" s="965">
        <v>39082</v>
      </c>
      <c r="C3" s="965">
        <v>38717</v>
      </c>
      <c r="D3" s="965">
        <v>38352</v>
      </c>
      <c r="E3" s="965">
        <v>37986</v>
      </c>
    </row>
    <row r="4" spans="1:6" ht="17.100000000000001" customHeight="1" x14ac:dyDescent="0.25">
      <c r="A4" s="885" t="s">
        <v>386</v>
      </c>
      <c r="B4" s="671" t="s">
        <v>1036</v>
      </c>
      <c r="C4" s="671" t="s">
        <v>1036</v>
      </c>
      <c r="D4" s="671" t="s">
        <v>1036</v>
      </c>
      <c r="E4" s="671" t="s">
        <v>1036</v>
      </c>
    </row>
    <row r="5" spans="1:6" ht="17.100000000000001" customHeight="1" x14ac:dyDescent="0.25">
      <c r="A5" s="966" t="s">
        <v>388</v>
      </c>
      <c r="B5" s="967">
        <v>61.597999999999999</v>
      </c>
      <c r="C5" s="967">
        <v>66.481999999999999</v>
      </c>
      <c r="D5" s="967">
        <v>68.590999999999994</v>
      </c>
      <c r="E5" s="967">
        <v>71.247</v>
      </c>
    </row>
    <row r="6" spans="1:6" ht="17.100000000000001" customHeight="1" x14ac:dyDescent="0.25">
      <c r="A6" s="968" t="s">
        <v>389</v>
      </c>
      <c r="B6" s="969">
        <v>39.131999999999998</v>
      </c>
      <c r="C6" s="969">
        <v>43.621000000000002</v>
      </c>
      <c r="D6" s="969">
        <v>48.109000000000002</v>
      </c>
      <c r="E6" s="969">
        <v>22.097999999999999</v>
      </c>
    </row>
    <row r="7" spans="1:6" ht="17.100000000000001" customHeight="1" x14ac:dyDescent="0.25">
      <c r="A7" s="968" t="s">
        <v>53</v>
      </c>
      <c r="B7" s="969">
        <v>19.466999999999999</v>
      </c>
      <c r="C7" s="969">
        <v>19.861000000000001</v>
      </c>
      <c r="D7" s="969">
        <v>17.481999999999999</v>
      </c>
      <c r="E7" s="969">
        <v>47.581000000000003</v>
      </c>
    </row>
    <row r="8" spans="1:6" ht="17.100000000000001" customHeight="1" x14ac:dyDescent="0.25">
      <c r="A8" s="968" t="s">
        <v>1037</v>
      </c>
      <c r="B8" s="969">
        <v>2.9990000000000001</v>
      </c>
      <c r="C8" s="969">
        <v>3</v>
      </c>
      <c r="D8" s="969">
        <v>3</v>
      </c>
      <c r="E8" s="969">
        <v>1.5680000000000001</v>
      </c>
    </row>
    <row r="9" spans="1:6" ht="17.100000000000001" customHeight="1" x14ac:dyDescent="0.25">
      <c r="A9" s="966" t="s">
        <v>391</v>
      </c>
      <c r="B9" s="967">
        <v>28.751000000000001</v>
      </c>
      <c r="C9" s="967">
        <v>35.398000000000003</v>
      </c>
      <c r="D9" s="967">
        <v>42.795000000000002</v>
      </c>
      <c r="E9" s="967">
        <v>33.103999999999999</v>
      </c>
    </row>
    <row r="10" spans="1:6" ht="17.100000000000001" customHeight="1" x14ac:dyDescent="0.25">
      <c r="A10" s="968" t="s">
        <v>392</v>
      </c>
      <c r="B10" s="969">
        <v>5.532</v>
      </c>
      <c r="C10" s="969">
        <v>6.4379999999999997</v>
      </c>
      <c r="D10" s="969">
        <v>5.2969999999999997</v>
      </c>
      <c r="E10" s="969">
        <v>14.749000000000001</v>
      </c>
    </row>
    <row r="11" spans="1:6" ht="17.100000000000001" customHeight="1" x14ac:dyDescent="0.25">
      <c r="A11" s="968" t="s">
        <v>393</v>
      </c>
      <c r="B11" s="902">
        <v>0</v>
      </c>
      <c r="C11" s="902">
        <v>0</v>
      </c>
      <c r="D11" s="969">
        <v>2.5510000000000002</v>
      </c>
      <c r="E11" s="969">
        <v>12.042</v>
      </c>
    </row>
    <row r="12" spans="1:6" ht="17.100000000000001" customHeight="1" x14ac:dyDescent="0.25">
      <c r="A12" s="968" t="s">
        <v>1038</v>
      </c>
      <c r="B12" s="969">
        <v>0</v>
      </c>
      <c r="C12" s="969">
        <v>0.73799999999999999</v>
      </c>
      <c r="D12" s="969">
        <v>1.272</v>
      </c>
      <c r="E12" s="969">
        <v>6.3129999999999997</v>
      </c>
      <c r="F12" s="970"/>
    </row>
    <row r="13" spans="1:6" ht="17.100000000000001" customHeight="1" x14ac:dyDescent="0.25">
      <c r="A13" s="968" t="s">
        <v>394</v>
      </c>
      <c r="B13" s="969">
        <v>23.219000000000001</v>
      </c>
      <c r="C13" s="969">
        <v>28.222000000000001</v>
      </c>
      <c r="D13" s="969">
        <v>33.674999999999997</v>
      </c>
      <c r="E13" s="969">
        <v>6.3129999999999997</v>
      </c>
    </row>
    <row r="14" spans="1:6" ht="17.100000000000001" customHeight="1" x14ac:dyDescent="0.25">
      <c r="A14" s="966" t="s">
        <v>395</v>
      </c>
      <c r="B14" s="967">
        <v>90.349000000000004</v>
      </c>
      <c r="C14" s="967">
        <v>101.88</v>
      </c>
      <c r="D14" s="967">
        <v>111.386</v>
      </c>
      <c r="E14" s="967">
        <v>104.351</v>
      </c>
    </row>
    <row r="15" spans="1:6" ht="17.100000000000001" customHeight="1" x14ac:dyDescent="0.25">
      <c r="A15" s="671"/>
      <c r="B15" s="671"/>
      <c r="C15" s="671"/>
      <c r="D15" s="671"/>
      <c r="E15" s="671"/>
    </row>
    <row r="16" spans="1:6" ht="17.100000000000001" customHeight="1" x14ac:dyDescent="0.25">
      <c r="A16" s="966" t="s">
        <v>396</v>
      </c>
      <c r="B16" s="967">
        <v>5.5339999999999998</v>
      </c>
      <c r="C16" s="967">
        <v>4.9109999999999996</v>
      </c>
      <c r="D16" s="967">
        <v>3.7839999999999998</v>
      </c>
      <c r="E16" s="967">
        <v>2.7429999999999999</v>
      </c>
    </row>
    <row r="17" spans="1:5" ht="17.100000000000001" customHeight="1" x14ac:dyDescent="0.25">
      <c r="A17" s="968" t="s">
        <v>397</v>
      </c>
      <c r="B17" s="969">
        <v>3.008</v>
      </c>
      <c r="C17" s="969">
        <v>3.008</v>
      </c>
      <c r="D17" s="969">
        <v>3.008</v>
      </c>
      <c r="E17" s="969">
        <v>3.008</v>
      </c>
    </row>
    <row r="18" spans="1:5" ht="17.100000000000001" customHeight="1" x14ac:dyDescent="0.25">
      <c r="A18" s="968" t="s">
        <v>398</v>
      </c>
      <c r="B18" s="969">
        <v>2.5259999999999998</v>
      </c>
      <c r="C18" s="969">
        <v>1.903</v>
      </c>
      <c r="D18" s="902">
        <v>0.77600000000000002</v>
      </c>
      <c r="E18" s="902">
        <v>-0.26500000000000001</v>
      </c>
    </row>
    <row r="19" spans="1:5" ht="17.100000000000001" customHeight="1" x14ac:dyDescent="0.25">
      <c r="A19" s="966" t="s">
        <v>1039</v>
      </c>
      <c r="B19" s="971">
        <v>0</v>
      </c>
      <c r="C19" s="967">
        <v>82.203999999999994</v>
      </c>
      <c r="D19" s="967">
        <v>99.704999999999998</v>
      </c>
      <c r="E19" s="972">
        <v>0</v>
      </c>
    </row>
    <row r="20" spans="1:5" ht="17.100000000000001" customHeight="1" x14ac:dyDescent="0.25">
      <c r="A20" s="968" t="s">
        <v>400</v>
      </c>
      <c r="B20" s="902">
        <v>0</v>
      </c>
      <c r="C20" s="969">
        <v>82.203999999999994</v>
      </c>
      <c r="D20" s="969">
        <v>99.704999999999998</v>
      </c>
      <c r="E20" s="901">
        <v>0</v>
      </c>
    </row>
    <row r="21" spans="1:5" ht="17.100000000000001" customHeight="1" x14ac:dyDescent="0.25">
      <c r="A21" s="968" t="s">
        <v>1040</v>
      </c>
      <c r="B21" s="902">
        <v>0</v>
      </c>
      <c r="C21" s="902">
        <v>0</v>
      </c>
      <c r="D21" s="901">
        <v>0</v>
      </c>
      <c r="E21" s="901">
        <v>0</v>
      </c>
    </row>
    <row r="22" spans="1:5" ht="17.100000000000001" customHeight="1" x14ac:dyDescent="0.25">
      <c r="A22" s="968" t="s">
        <v>1041</v>
      </c>
      <c r="B22" s="902">
        <v>0</v>
      </c>
      <c r="C22" s="902">
        <v>0</v>
      </c>
      <c r="D22" s="901">
        <v>0</v>
      </c>
      <c r="E22" s="901">
        <v>0</v>
      </c>
    </row>
    <row r="23" spans="1:5" ht="17.100000000000001" customHeight="1" x14ac:dyDescent="0.25">
      <c r="A23" s="966" t="s">
        <v>1042</v>
      </c>
      <c r="B23" s="967">
        <v>84.814999999999998</v>
      </c>
      <c r="C23" s="967">
        <v>14.765000000000001</v>
      </c>
      <c r="D23" s="967">
        <v>7.8979999999999997</v>
      </c>
      <c r="E23" s="967">
        <v>101.60899999999999</v>
      </c>
    </row>
    <row r="24" spans="1:5" ht="17.100000000000001" customHeight="1" x14ac:dyDescent="0.25">
      <c r="A24" s="968" t="s">
        <v>867</v>
      </c>
      <c r="B24" s="901">
        <v>0</v>
      </c>
      <c r="C24" s="901">
        <v>0</v>
      </c>
      <c r="D24" s="901">
        <v>0</v>
      </c>
      <c r="E24" s="901">
        <v>0</v>
      </c>
    </row>
    <row r="25" spans="1:5" ht="17.100000000000001" customHeight="1" x14ac:dyDescent="0.25">
      <c r="A25" s="968" t="s">
        <v>402</v>
      </c>
      <c r="B25" s="969">
        <v>84.814999999999998</v>
      </c>
      <c r="C25" s="969">
        <v>14.765000000000001</v>
      </c>
      <c r="D25" s="969">
        <v>7.8979999999999997</v>
      </c>
      <c r="E25" s="969">
        <v>101.60899999999999</v>
      </c>
    </row>
    <row r="26" spans="1:5" ht="17.100000000000001" customHeight="1" x14ac:dyDescent="0.25">
      <c r="A26" s="968" t="s">
        <v>1043</v>
      </c>
      <c r="B26" s="671">
        <v>0</v>
      </c>
      <c r="C26" s="671">
        <v>0</v>
      </c>
      <c r="D26" s="671">
        <v>0</v>
      </c>
      <c r="E26" s="671">
        <v>0</v>
      </c>
    </row>
    <row r="27" spans="1:5" ht="17.100000000000001" customHeight="1" x14ac:dyDescent="0.25">
      <c r="A27" s="966" t="s">
        <v>403</v>
      </c>
      <c r="B27" s="967">
        <v>90.349000000000004</v>
      </c>
      <c r="C27" s="967">
        <v>101.88</v>
      </c>
      <c r="D27" s="967">
        <v>111.386</v>
      </c>
      <c r="E27" s="967">
        <v>104.351</v>
      </c>
    </row>
    <row r="28" spans="1:5" ht="17.100000000000001" customHeight="1" x14ac:dyDescent="0.25">
      <c r="A28" s="671"/>
      <c r="B28" s="671"/>
      <c r="C28" s="671"/>
      <c r="D28" s="671"/>
      <c r="E28" s="671"/>
    </row>
    <row r="29" spans="1:5" ht="17.100000000000001" customHeight="1" x14ac:dyDescent="0.25">
      <c r="B29" s="671"/>
      <c r="C29" s="671"/>
      <c r="D29" s="671"/>
      <c r="E29" s="671"/>
    </row>
    <row r="30" spans="1:5" ht="17.100000000000001" customHeight="1" x14ac:dyDescent="0.25">
      <c r="A30" s="671"/>
      <c r="B30" s="973"/>
      <c r="C30" s="973"/>
      <c r="D30" s="973"/>
      <c r="E30" s="973"/>
    </row>
    <row r="31" spans="1:5" ht="17.100000000000001" customHeight="1" x14ac:dyDescent="0.25">
      <c r="A31" s="974"/>
      <c r="B31" s="671"/>
      <c r="C31" s="671"/>
      <c r="D31" s="671"/>
      <c r="E31" s="671"/>
    </row>
    <row r="32" spans="1:5" ht="17.100000000000001" customHeight="1" x14ac:dyDescent="0.25">
      <c r="A32" s="974"/>
      <c r="B32" s="965">
        <v>39082</v>
      </c>
      <c r="C32" s="965">
        <v>38717</v>
      </c>
      <c r="D32" s="965">
        <v>38352</v>
      </c>
      <c r="E32" s="965">
        <v>37986</v>
      </c>
    </row>
    <row r="33" spans="1:5" ht="17.100000000000001" customHeight="1" x14ac:dyDescent="0.25">
      <c r="A33" s="974" t="s">
        <v>366</v>
      </c>
      <c r="B33" s="671" t="s">
        <v>1036</v>
      </c>
      <c r="C33" s="671" t="s">
        <v>1036</v>
      </c>
      <c r="D33" s="671" t="s">
        <v>1036</v>
      </c>
      <c r="E33" s="671" t="s">
        <v>1036</v>
      </c>
    </row>
    <row r="34" spans="1:5" ht="17.100000000000001" customHeight="1" x14ac:dyDescent="0.25">
      <c r="A34" s="966" t="s">
        <v>868</v>
      </c>
      <c r="B34" s="967">
        <v>153.58600000000001</v>
      </c>
      <c r="C34" s="967">
        <v>160.624</v>
      </c>
      <c r="D34" s="967">
        <v>133.52699999999999</v>
      </c>
      <c r="E34" s="967">
        <v>37.244999999999997</v>
      </c>
    </row>
    <row r="35" spans="1:5" ht="17.100000000000001" customHeight="1" x14ac:dyDescent="0.25">
      <c r="A35" s="900" t="s">
        <v>372</v>
      </c>
      <c r="B35" s="969">
        <v>153.58600000000001</v>
      </c>
      <c r="C35" s="969">
        <v>160.624</v>
      </c>
      <c r="D35" s="969">
        <v>133.52699999999999</v>
      </c>
      <c r="E35" s="969">
        <v>33.244999999999997</v>
      </c>
    </row>
    <row r="36" spans="1:5" ht="17.100000000000001" customHeight="1" x14ac:dyDescent="0.25">
      <c r="A36" s="900" t="s">
        <v>373</v>
      </c>
      <c r="B36" s="969">
        <v>75.165999999999997</v>
      </c>
      <c r="C36" s="969">
        <v>84.459000000000003</v>
      </c>
      <c r="D36" s="969">
        <v>70.748999999999995</v>
      </c>
      <c r="E36" s="969">
        <v>17.085000000000001</v>
      </c>
    </row>
    <row r="37" spans="1:5" ht="17.100000000000001" customHeight="1" x14ac:dyDescent="0.25">
      <c r="A37" s="966" t="s">
        <v>342</v>
      </c>
      <c r="B37" s="975">
        <v>78.42</v>
      </c>
      <c r="C37" s="975">
        <v>76.165000000000006</v>
      </c>
      <c r="D37" s="975">
        <v>62.777999999999999</v>
      </c>
      <c r="E37" s="975">
        <v>16.16</v>
      </c>
    </row>
    <row r="38" spans="1:5" ht="17.100000000000001" customHeight="1" x14ac:dyDescent="0.25">
      <c r="A38" s="900" t="s">
        <v>407</v>
      </c>
      <c r="B38" s="969">
        <v>39.704999999999998</v>
      </c>
      <c r="C38" s="969">
        <v>37.094999999999999</v>
      </c>
      <c r="D38" s="969">
        <v>26.864999999999998</v>
      </c>
      <c r="E38" s="969">
        <v>9.3610000000000007</v>
      </c>
    </row>
    <row r="39" spans="1:5" ht="17.100000000000001" customHeight="1" x14ac:dyDescent="0.25">
      <c r="A39" s="900" t="s">
        <v>408</v>
      </c>
      <c r="B39" s="976">
        <v>30.619</v>
      </c>
      <c r="C39" s="976">
        <v>30.172999999999998</v>
      </c>
      <c r="D39" s="976">
        <v>29.704000000000001</v>
      </c>
      <c r="E39" s="976">
        <v>5.2610000000000001</v>
      </c>
    </row>
    <row r="40" spans="1:5" ht="17.100000000000001" customHeight="1" x14ac:dyDescent="0.25">
      <c r="A40" s="900" t="s">
        <v>774</v>
      </c>
      <c r="B40" s="969">
        <v>7.3209999999999997</v>
      </c>
      <c r="C40" s="969">
        <v>6.98</v>
      </c>
      <c r="D40" s="969">
        <v>6.3639999999999999</v>
      </c>
      <c r="E40" s="969">
        <v>1.804</v>
      </c>
    </row>
    <row r="41" spans="1:5" ht="17.100000000000001" customHeight="1" x14ac:dyDescent="0.25">
      <c r="A41" s="966" t="s">
        <v>62</v>
      </c>
      <c r="B41" s="971">
        <v>0.77500000000000002</v>
      </c>
      <c r="C41" s="967">
        <v>1.917</v>
      </c>
      <c r="D41" s="971">
        <v>-0.155</v>
      </c>
      <c r="E41" s="971">
        <v>-0.26600000000000001</v>
      </c>
    </row>
    <row r="42" spans="1:5" ht="17.100000000000001" customHeight="1" x14ac:dyDescent="0.25">
      <c r="A42" s="900" t="s">
        <v>410</v>
      </c>
      <c r="B42" s="902">
        <v>0.16600000000000001</v>
      </c>
      <c r="C42" s="902">
        <v>1.7000000000000001E-2</v>
      </c>
      <c r="D42" s="902">
        <v>1.7999999999999999E-2</v>
      </c>
      <c r="E42" s="902">
        <v>0</v>
      </c>
    </row>
    <row r="43" spans="1:5" ht="17.100000000000001" customHeight="1" x14ac:dyDescent="0.25">
      <c r="A43" s="900" t="s">
        <v>411</v>
      </c>
      <c r="B43" s="902">
        <v>0</v>
      </c>
      <c r="C43" s="902">
        <v>0.53500000000000003</v>
      </c>
      <c r="D43" s="969">
        <v>1.462</v>
      </c>
      <c r="E43" s="902">
        <v>0</v>
      </c>
    </row>
    <row r="44" spans="1:5" ht="17.100000000000001" customHeight="1" x14ac:dyDescent="0.25">
      <c r="A44" s="966" t="s">
        <v>412</v>
      </c>
      <c r="B44" s="971">
        <v>0.16600000000000001</v>
      </c>
      <c r="C44" s="971">
        <v>-0.51800000000000002</v>
      </c>
      <c r="D44" s="967">
        <v>-1.444</v>
      </c>
      <c r="E44" s="971">
        <v>0</v>
      </c>
    </row>
    <row r="45" spans="1:5" ht="17.100000000000001" customHeight="1" x14ac:dyDescent="0.25">
      <c r="A45" s="966" t="s">
        <v>413</v>
      </c>
      <c r="B45" s="971">
        <v>0.94</v>
      </c>
      <c r="C45" s="967">
        <v>1.399</v>
      </c>
      <c r="D45" s="967">
        <v>-1.599</v>
      </c>
      <c r="E45" s="971">
        <v>-0.26500000000000001</v>
      </c>
    </row>
    <row r="46" spans="1:5" ht="17.100000000000001" customHeight="1" x14ac:dyDescent="0.25">
      <c r="A46" s="900" t="s">
        <v>414</v>
      </c>
      <c r="B46" s="902">
        <v>0</v>
      </c>
      <c r="C46" s="902">
        <v>0</v>
      </c>
      <c r="D46" s="902">
        <v>0</v>
      </c>
      <c r="E46" s="902">
        <v>0</v>
      </c>
    </row>
    <row r="47" spans="1:5" ht="17.100000000000001" customHeight="1" x14ac:dyDescent="0.25">
      <c r="A47" s="966" t="s">
        <v>85</v>
      </c>
      <c r="B47" s="971">
        <v>0.94</v>
      </c>
      <c r="C47" s="967">
        <v>1.399</v>
      </c>
      <c r="D47" s="967">
        <v>-1.599</v>
      </c>
      <c r="E47" s="971">
        <v>-0.26500000000000001</v>
      </c>
    </row>
    <row r="48" spans="1:5" ht="17.100000000000001" customHeight="1" x14ac:dyDescent="0.25">
      <c r="A48" s="900" t="s">
        <v>1044</v>
      </c>
      <c r="B48" s="902">
        <v>9.4E-2</v>
      </c>
      <c r="C48" s="902">
        <v>0</v>
      </c>
      <c r="D48" s="969">
        <v>2.7469999999999999</v>
      </c>
      <c r="E48" s="901">
        <v>0</v>
      </c>
    </row>
    <row r="49" spans="1:6" ht="17.100000000000001" customHeight="1" x14ac:dyDescent="0.25">
      <c r="A49" s="900" t="s">
        <v>1045</v>
      </c>
      <c r="B49" s="902">
        <v>3.0000000000000001E-3</v>
      </c>
      <c r="C49" s="902">
        <v>0.04</v>
      </c>
      <c r="D49" s="902">
        <v>0.107</v>
      </c>
      <c r="E49" s="902">
        <v>0</v>
      </c>
    </row>
    <row r="50" spans="1:6" ht="17.100000000000001" customHeight="1" x14ac:dyDescent="0.25">
      <c r="A50" s="900" t="s">
        <v>1046</v>
      </c>
      <c r="B50" s="902">
        <v>9.0999999999999998E-2</v>
      </c>
      <c r="C50" s="902">
        <v>-0.04</v>
      </c>
      <c r="D50" s="969">
        <v>2.64</v>
      </c>
      <c r="E50" s="902">
        <v>0</v>
      </c>
    </row>
    <row r="51" spans="1:6" ht="17.100000000000001" customHeight="1" x14ac:dyDescent="0.25">
      <c r="A51" s="966" t="s">
        <v>415</v>
      </c>
      <c r="B51" s="967">
        <v>1.032</v>
      </c>
      <c r="C51" s="967">
        <v>1.36</v>
      </c>
      <c r="D51" s="967">
        <v>1.0409999999999999</v>
      </c>
      <c r="E51" s="971">
        <v>-0.26500000000000001</v>
      </c>
    </row>
    <row r="52" spans="1:6" ht="17.100000000000001" customHeight="1" x14ac:dyDescent="0.25"/>
    <row r="53" spans="1:6" ht="17.100000000000001" customHeight="1" x14ac:dyDescent="0.25">
      <c r="A53" s="986" t="s">
        <v>1052</v>
      </c>
      <c r="B53" s="671"/>
      <c r="C53" s="671"/>
      <c r="D53" s="671"/>
      <c r="E53" s="671"/>
      <c r="F53" s="978" t="s">
        <v>1047</v>
      </c>
    </row>
    <row r="54" spans="1:6" ht="17.100000000000001" customHeight="1" thickBot="1" x14ac:dyDescent="0.3">
      <c r="A54" s="986"/>
      <c r="B54" s="965">
        <v>39082</v>
      </c>
      <c r="C54" s="965">
        <v>38717</v>
      </c>
      <c r="D54" s="965">
        <v>38352</v>
      </c>
      <c r="E54" s="965">
        <v>37986</v>
      </c>
      <c r="F54" s="978"/>
    </row>
    <row r="55" spans="1:6" ht="17.100000000000001" customHeight="1" x14ac:dyDescent="0.25">
      <c r="A55" s="887" t="s">
        <v>868</v>
      </c>
      <c r="B55" s="979">
        <v>154</v>
      </c>
      <c r="C55" s="979">
        <v>160.624</v>
      </c>
      <c r="D55" s="979">
        <v>133.52699999999999</v>
      </c>
      <c r="E55" s="987">
        <v>37.244999999999997</v>
      </c>
      <c r="F55" s="980">
        <f t="shared" ref="F55:F63" si="0">+MEDIAN(B55:D55)</f>
        <v>154</v>
      </c>
    </row>
    <row r="56" spans="1:6" ht="17.100000000000001" customHeight="1" x14ac:dyDescent="0.25">
      <c r="A56" s="681" t="s">
        <v>413</v>
      </c>
      <c r="B56" s="893">
        <v>0.94</v>
      </c>
      <c r="C56" s="891">
        <v>1.399</v>
      </c>
      <c r="D56" s="891">
        <v>-1.599</v>
      </c>
      <c r="E56" s="988">
        <v>-0.26500000000000001</v>
      </c>
      <c r="F56" s="981">
        <f t="shared" si="0"/>
        <v>0.94</v>
      </c>
    </row>
    <row r="57" spans="1:6" ht="17.100000000000001" customHeight="1" x14ac:dyDescent="0.25">
      <c r="A57" s="681" t="s">
        <v>1048</v>
      </c>
      <c r="B57" s="891">
        <v>90.349000000000004</v>
      </c>
      <c r="C57" s="891">
        <v>101.88</v>
      </c>
      <c r="D57" s="891">
        <v>111.386</v>
      </c>
      <c r="E57" s="989">
        <v>104.351</v>
      </c>
      <c r="F57" s="981">
        <f t="shared" si="0"/>
        <v>101.88</v>
      </c>
    </row>
    <row r="58" spans="1:6" ht="17.100000000000001" customHeight="1" x14ac:dyDescent="0.25">
      <c r="A58" s="681" t="s">
        <v>396</v>
      </c>
      <c r="B58" s="891">
        <v>5.5339999999999998</v>
      </c>
      <c r="C58" s="891">
        <v>4.9109999999999996</v>
      </c>
      <c r="D58" s="891">
        <v>3.7839999999999998</v>
      </c>
      <c r="E58" s="989">
        <v>2.7429999999999999</v>
      </c>
      <c r="F58" s="981">
        <f t="shared" si="0"/>
        <v>4.9109999999999996</v>
      </c>
    </row>
    <row r="59" spans="1:6" ht="17.100000000000001" customHeight="1" x14ac:dyDescent="0.25">
      <c r="A59" s="681" t="s">
        <v>1049</v>
      </c>
      <c r="B59" s="982">
        <v>1.04</v>
      </c>
      <c r="C59" s="982">
        <v>1.37</v>
      </c>
      <c r="D59" s="982">
        <v>-1.44</v>
      </c>
      <c r="E59" s="990">
        <v>-0.25</v>
      </c>
      <c r="F59" s="981">
        <f t="shared" si="0"/>
        <v>1.04</v>
      </c>
    </row>
    <row r="60" spans="1:6" ht="17.100000000000001" customHeight="1" x14ac:dyDescent="0.25">
      <c r="A60" s="681" t="s">
        <v>1050</v>
      </c>
      <c r="B60" s="982">
        <v>16.989999999999998</v>
      </c>
      <c r="C60" s="982">
        <v>28.49</v>
      </c>
      <c r="D60" s="982">
        <v>-42.26</v>
      </c>
      <c r="E60" s="990">
        <v>-9.66</v>
      </c>
      <c r="F60" s="981">
        <f t="shared" si="0"/>
        <v>16.989999999999998</v>
      </c>
    </row>
    <row r="61" spans="1:6" ht="17.100000000000001" customHeight="1" x14ac:dyDescent="0.25">
      <c r="A61" s="681" t="s">
        <v>1051</v>
      </c>
      <c r="B61" s="982">
        <f>+(B57-B58)/B58</f>
        <v>15.326165522226239</v>
      </c>
      <c r="C61" s="982">
        <f>+(C57-C58)/C58</f>
        <v>19.745265729993893</v>
      </c>
      <c r="D61" s="982">
        <f>+(D57-D58)/D58</f>
        <v>28.436046511627907</v>
      </c>
      <c r="E61" s="990">
        <f>+(E57-E58)/E58</f>
        <v>37.042654028436019</v>
      </c>
      <c r="F61" s="981">
        <f t="shared" si="0"/>
        <v>19.745265729993893</v>
      </c>
    </row>
    <row r="62" spans="1:6" ht="17.100000000000001" customHeight="1" x14ac:dyDescent="0.25">
      <c r="A62" s="681" t="s">
        <v>80</v>
      </c>
      <c r="B62" s="983">
        <f>+B41+B40</f>
        <v>8.0960000000000001</v>
      </c>
      <c r="C62" s="983">
        <f>+C51+C40</f>
        <v>8.34</v>
      </c>
      <c r="D62" s="983">
        <f>+D51+D40</f>
        <v>7.4049999999999994</v>
      </c>
      <c r="E62" s="991">
        <f>+E51+E40</f>
        <v>1.5390000000000001</v>
      </c>
      <c r="F62" s="981">
        <f t="shared" si="0"/>
        <v>8.0960000000000001</v>
      </c>
    </row>
    <row r="63" spans="1:6" ht="17.100000000000001" customHeight="1" thickBot="1" x14ac:dyDescent="0.3">
      <c r="A63" s="725" t="s">
        <v>404</v>
      </c>
      <c r="B63" s="984">
        <v>2</v>
      </c>
      <c r="C63" s="984">
        <v>2</v>
      </c>
      <c r="D63" s="984">
        <v>2</v>
      </c>
      <c r="E63" s="992">
        <v>2</v>
      </c>
      <c r="F63" s="985">
        <f t="shared" si="0"/>
        <v>2</v>
      </c>
    </row>
    <row r="66" spans="1:26" ht="15" customHeight="1" thickBot="1" x14ac:dyDescent="0.3">
      <c r="A66" s="671" t="s">
        <v>1084</v>
      </c>
      <c r="B66" s="993"/>
      <c r="C66" s="993"/>
      <c r="D66" s="993"/>
      <c r="E66" s="993"/>
      <c r="F66" s="993"/>
      <c r="G66" s="993"/>
      <c r="H66" s="993"/>
      <c r="I66" s="993"/>
      <c r="J66" s="993"/>
      <c r="K66" s="993"/>
      <c r="L66" s="993"/>
      <c r="M66" s="993"/>
      <c r="N66" s="993"/>
      <c r="O66" s="993"/>
      <c r="P66" s="993"/>
      <c r="Q66" s="993"/>
      <c r="V66" s="670"/>
      <c r="W66" s="670"/>
      <c r="X66" s="670"/>
      <c r="Y66" s="670"/>
      <c r="Z66" s="670"/>
    </row>
    <row r="67" spans="1:26" ht="15" customHeight="1" x14ac:dyDescent="0.25">
      <c r="A67" s="994" t="s">
        <v>1053</v>
      </c>
      <c r="B67" s="995" t="s">
        <v>147</v>
      </c>
      <c r="C67" s="995" t="s">
        <v>290</v>
      </c>
      <c r="D67" s="995" t="s">
        <v>1054</v>
      </c>
      <c r="E67" s="995" t="s">
        <v>1055</v>
      </c>
      <c r="F67" s="995" t="s">
        <v>80</v>
      </c>
      <c r="G67" s="995" t="s">
        <v>1056</v>
      </c>
      <c r="H67" s="995" t="s">
        <v>1057</v>
      </c>
      <c r="I67" s="996" t="s">
        <v>1058</v>
      </c>
      <c r="J67" s="997" t="s">
        <v>1059</v>
      </c>
      <c r="K67" s="993"/>
      <c r="L67" s="993"/>
      <c r="M67" s="993"/>
      <c r="N67" s="993"/>
      <c r="O67" s="993"/>
      <c r="P67" s="993"/>
      <c r="Q67" s="993"/>
      <c r="V67" s="670"/>
      <c r="W67" s="670"/>
      <c r="X67" s="670"/>
      <c r="Y67" s="670"/>
      <c r="Z67" s="670"/>
    </row>
    <row r="68" spans="1:26" ht="15" customHeight="1" x14ac:dyDescent="0.25">
      <c r="A68" s="998"/>
      <c r="B68" s="999" t="s">
        <v>1060</v>
      </c>
      <c r="C68" s="999" t="s">
        <v>1060</v>
      </c>
      <c r="D68" s="999" t="s">
        <v>1060</v>
      </c>
      <c r="E68" s="999" t="s">
        <v>1060</v>
      </c>
      <c r="F68" s="999" t="s">
        <v>1060</v>
      </c>
      <c r="G68" s="1000" t="s">
        <v>144</v>
      </c>
      <c r="H68" s="1000" t="s">
        <v>144</v>
      </c>
      <c r="I68" s="1000"/>
      <c r="J68" s="1001"/>
      <c r="K68" s="993"/>
      <c r="L68" s="993"/>
      <c r="M68" s="993"/>
      <c r="N68" s="993"/>
      <c r="O68" s="993"/>
      <c r="P68" s="993"/>
      <c r="Q68" s="993"/>
      <c r="V68" s="670"/>
      <c r="W68" s="670"/>
      <c r="X68" s="670"/>
      <c r="Y68" s="670"/>
      <c r="Z68" s="670"/>
    </row>
    <row r="69" spans="1:26" ht="15" customHeight="1" x14ac:dyDescent="0.25">
      <c r="A69" s="1002" t="s">
        <v>1061</v>
      </c>
      <c r="B69" s="1003">
        <v>497</v>
      </c>
      <c r="C69" s="1003">
        <v>64</v>
      </c>
      <c r="D69" s="1003">
        <v>549</v>
      </c>
      <c r="E69" s="1003">
        <v>108</v>
      </c>
      <c r="F69" s="1003">
        <f>+C69/0.8+E69/7</f>
        <v>95.428571428571431</v>
      </c>
      <c r="G69" s="1004">
        <f>+C69/D69</f>
        <v>0.11657559198542805</v>
      </c>
      <c r="H69" s="1004">
        <f>+C69/E69</f>
        <v>0.59259259259259256</v>
      </c>
      <c r="I69" s="1005">
        <f>+(D69-E69)/E69</f>
        <v>4.083333333333333</v>
      </c>
      <c r="J69" s="1006">
        <v>2</v>
      </c>
      <c r="K69" s="993"/>
      <c r="L69" s="993"/>
      <c r="M69" s="993"/>
      <c r="N69" s="993"/>
      <c r="O69" s="993"/>
      <c r="P69" s="993"/>
      <c r="Q69" s="993"/>
      <c r="V69" s="670"/>
      <c r="W69" s="670"/>
      <c r="X69" s="670"/>
      <c r="Y69" s="670"/>
      <c r="Z69" s="670"/>
    </row>
    <row r="70" spans="1:26" ht="15" customHeight="1" x14ac:dyDescent="0.25">
      <c r="A70" s="1002" t="s">
        <v>1062</v>
      </c>
      <c r="B70" s="1003">
        <v>391</v>
      </c>
      <c r="C70" s="1003">
        <v>111</v>
      </c>
      <c r="D70" s="1003">
        <v>169</v>
      </c>
      <c r="E70" s="1003">
        <v>82</v>
      </c>
      <c r="F70" s="1003">
        <f t="shared" ref="F70:F88" si="1">+C70/0.8+E70/7</f>
        <v>150.46428571428572</v>
      </c>
      <c r="G70" s="1004">
        <f t="shared" ref="G70:G88" si="2">+C70/D70</f>
        <v>0.65680473372781067</v>
      </c>
      <c r="H70" s="1004">
        <f t="shared" ref="H70:H88" si="3">+C70/E70</f>
        <v>1.3536585365853659</v>
      </c>
      <c r="I70" s="1005">
        <f t="shared" ref="I70:I88" si="4">+(D70-E70)/E70</f>
        <v>1.0609756097560976</v>
      </c>
      <c r="J70" s="1006">
        <v>3</v>
      </c>
      <c r="K70" s="993"/>
      <c r="L70" s="993"/>
      <c r="M70" s="993"/>
      <c r="N70" s="993"/>
      <c r="O70" s="993"/>
      <c r="P70" s="993"/>
      <c r="Q70" s="993"/>
      <c r="V70" s="670"/>
      <c r="W70" s="670"/>
      <c r="X70" s="670"/>
      <c r="Y70" s="670"/>
      <c r="Z70" s="670"/>
    </row>
    <row r="71" spans="1:26" ht="15" customHeight="1" x14ac:dyDescent="0.25">
      <c r="A71" s="1002" t="s">
        <v>1063</v>
      </c>
      <c r="B71" s="1003">
        <v>366</v>
      </c>
      <c r="C71" s="1003">
        <v>23</v>
      </c>
      <c r="D71" s="1003">
        <v>147</v>
      </c>
      <c r="E71" s="1003">
        <v>28</v>
      </c>
      <c r="F71" s="1003">
        <f t="shared" si="1"/>
        <v>32.75</v>
      </c>
      <c r="G71" s="1004">
        <f t="shared" si="2"/>
        <v>0.15646258503401361</v>
      </c>
      <c r="H71" s="1004">
        <f t="shared" si="3"/>
        <v>0.8214285714285714</v>
      </c>
      <c r="I71" s="1005">
        <f t="shared" si="4"/>
        <v>4.25</v>
      </c>
      <c r="J71" s="1006">
        <v>2</v>
      </c>
      <c r="K71" s="993"/>
      <c r="L71" s="993"/>
      <c r="M71" s="993"/>
      <c r="N71" s="993"/>
      <c r="O71" s="993"/>
      <c r="P71" s="993"/>
      <c r="Q71" s="993"/>
      <c r="V71" s="670"/>
      <c r="W71" s="670"/>
      <c r="X71" s="670"/>
      <c r="Y71" s="670"/>
      <c r="Z71" s="670"/>
    </row>
    <row r="72" spans="1:26" ht="15" customHeight="1" x14ac:dyDescent="0.25">
      <c r="A72" s="1002" t="s">
        <v>1064</v>
      </c>
      <c r="B72" s="1003">
        <v>311</v>
      </c>
      <c r="C72" s="1003">
        <v>199</v>
      </c>
      <c r="D72" s="1007">
        <v>1896</v>
      </c>
      <c r="E72" s="1003">
        <v>637</v>
      </c>
      <c r="F72" s="1003">
        <f t="shared" si="1"/>
        <v>339.75</v>
      </c>
      <c r="G72" s="1004">
        <f t="shared" si="2"/>
        <v>0.10495780590717299</v>
      </c>
      <c r="H72" s="1004">
        <f t="shared" si="3"/>
        <v>0.31240188383045525</v>
      </c>
      <c r="I72" s="1005">
        <f t="shared" si="4"/>
        <v>1.9764521193092621</v>
      </c>
      <c r="J72" s="1006">
        <v>1</v>
      </c>
      <c r="K72" s="993"/>
      <c r="L72" s="993"/>
      <c r="M72" s="993"/>
      <c r="N72" s="993"/>
      <c r="O72" s="993"/>
      <c r="P72" s="993"/>
      <c r="Q72" s="993"/>
      <c r="V72" s="670"/>
      <c r="W72" s="670"/>
      <c r="X72" s="670"/>
      <c r="Y72" s="670"/>
      <c r="Z72" s="670"/>
    </row>
    <row r="73" spans="1:26" ht="15" customHeight="1" x14ac:dyDescent="0.25">
      <c r="A73" s="1002" t="s">
        <v>1065</v>
      </c>
      <c r="B73" s="1003">
        <v>294</v>
      </c>
      <c r="C73" s="1003">
        <v>13</v>
      </c>
      <c r="D73" s="1003">
        <v>141</v>
      </c>
      <c r="E73" s="1003">
        <v>39</v>
      </c>
      <c r="F73" s="1003">
        <f t="shared" si="1"/>
        <v>21.821428571428569</v>
      </c>
      <c r="G73" s="1004">
        <f t="shared" si="2"/>
        <v>9.2198581560283682E-2</v>
      </c>
      <c r="H73" s="1004">
        <f t="shared" si="3"/>
        <v>0.33333333333333331</v>
      </c>
      <c r="I73" s="1005">
        <f t="shared" si="4"/>
        <v>2.6153846153846154</v>
      </c>
      <c r="J73" s="1006">
        <v>1</v>
      </c>
      <c r="K73" s="993"/>
      <c r="L73" s="993"/>
      <c r="M73" s="993"/>
      <c r="N73" s="993"/>
      <c r="O73" s="993"/>
      <c r="P73" s="993"/>
      <c r="Q73" s="993"/>
      <c r="V73" s="670"/>
      <c r="W73" s="670"/>
      <c r="X73" s="670"/>
      <c r="Y73" s="670"/>
      <c r="Z73" s="670"/>
    </row>
    <row r="74" spans="1:26" ht="15" customHeight="1" x14ac:dyDescent="0.25">
      <c r="A74" s="1002" t="s">
        <v>1066</v>
      </c>
      <c r="B74" s="1003">
        <v>251</v>
      </c>
      <c r="C74" s="1003">
        <v>5</v>
      </c>
      <c r="D74" s="1003">
        <v>474</v>
      </c>
      <c r="E74" s="1003">
        <v>129</v>
      </c>
      <c r="F74" s="1003">
        <f t="shared" si="1"/>
        <v>24.678571428571427</v>
      </c>
      <c r="G74" s="1004">
        <f t="shared" si="2"/>
        <v>1.0548523206751054E-2</v>
      </c>
      <c r="H74" s="1004">
        <f t="shared" si="3"/>
        <v>3.875968992248062E-2</v>
      </c>
      <c r="I74" s="1005">
        <f t="shared" si="4"/>
        <v>2.6744186046511627</v>
      </c>
      <c r="J74" s="1006">
        <v>3</v>
      </c>
      <c r="K74" s="993"/>
      <c r="L74" s="993"/>
      <c r="M74" s="993"/>
      <c r="N74" s="993"/>
      <c r="O74" s="993"/>
      <c r="P74" s="993"/>
      <c r="Q74" s="993"/>
      <c r="V74" s="670"/>
      <c r="W74" s="670"/>
      <c r="X74" s="670"/>
      <c r="Y74" s="670"/>
      <c r="Z74" s="670"/>
    </row>
    <row r="75" spans="1:26" ht="15" customHeight="1" x14ac:dyDescent="0.25">
      <c r="A75" s="1002" t="s">
        <v>1067</v>
      </c>
      <c r="B75" s="1003">
        <v>225</v>
      </c>
      <c r="C75" s="1003">
        <v>-19</v>
      </c>
      <c r="D75" s="1003">
        <v>124</v>
      </c>
      <c r="E75" s="1003">
        <v>57</v>
      </c>
      <c r="F75" s="1003">
        <f t="shared" si="1"/>
        <v>-15.607142857142858</v>
      </c>
      <c r="G75" s="1004">
        <f t="shared" si="2"/>
        <v>-0.15322580645161291</v>
      </c>
      <c r="H75" s="1004">
        <f t="shared" si="3"/>
        <v>-0.33333333333333331</v>
      </c>
      <c r="I75" s="1005">
        <f t="shared" si="4"/>
        <v>1.1754385964912282</v>
      </c>
      <c r="J75" s="1006">
        <v>3</v>
      </c>
      <c r="K75" s="993"/>
      <c r="L75" s="993"/>
      <c r="M75" s="993"/>
      <c r="N75" s="993"/>
      <c r="O75" s="993"/>
      <c r="P75" s="993"/>
      <c r="Q75" s="993"/>
      <c r="V75" s="670"/>
      <c r="W75" s="670"/>
      <c r="X75" s="670"/>
      <c r="Y75" s="670"/>
      <c r="Z75" s="670"/>
    </row>
    <row r="76" spans="1:26" ht="15" customHeight="1" x14ac:dyDescent="0.25">
      <c r="A76" s="1002" t="s">
        <v>1068</v>
      </c>
      <c r="B76" s="1003">
        <v>209</v>
      </c>
      <c r="C76" s="1003">
        <v>10</v>
      </c>
      <c r="D76" s="1003">
        <v>493</v>
      </c>
      <c r="E76" s="1003">
        <v>164</v>
      </c>
      <c r="F76" s="1003">
        <f t="shared" si="1"/>
        <v>35.928571428571431</v>
      </c>
      <c r="G76" s="1004">
        <f t="shared" si="2"/>
        <v>2.0283975659229209E-2</v>
      </c>
      <c r="H76" s="1004">
        <f t="shared" si="3"/>
        <v>6.097560975609756E-2</v>
      </c>
      <c r="I76" s="1005">
        <f t="shared" si="4"/>
        <v>2.0060975609756095</v>
      </c>
      <c r="J76" s="1006">
        <v>2</v>
      </c>
      <c r="K76" s="993"/>
      <c r="L76" s="993"/>
      <c r="M76" s="993"/>
      <c r="N76" s="993"/>
      <c r="O76" s="993"/>
      <c r="P76" s="993"/>
      <c r="Q76" s="993"/>
      <c r="V76" s="670"/>
      <c r="W76" s="670"/>
      <c r="X76" s="670"/>
      <c r="Y76" s="670"/>
      <c r="Z76" s="670"/>
    </row>
    <row r="77" spans="1:26" ht="15" customHeight="1" x14ac:dyDescent="0.25">
      <c r="A77" s="1002" t="s">
        <v>1069</v>
      </c>
      <c r="B77" s="1003">
        <v>191</v>
      </c>
      <c r="C77" s="1003">
        <v>1</v>
      </c>
      <c r="D77" s="1003">
        <v>202</v>
      </c>
      <c r="E77" s="1003">
        <v>45</v>
      </c>
      <c r="F77" s="1003">
        <f t="shared" si="1"/>
        <v>7.6785714285714288</v>
      </c>
      <c r="G77" s="1004">
        <f t="shared" si="2"/>
        <v>4.9504950495049506E-3</v>
      </c>
      <c r="H77" s="1004">
        <f t="shared" si="3"/>
        <v>2.2222222222222223E-2</v>
      </c>
      <c r="I77" s="1005">
        <f t="shared" si="4"/>
        <v>3.4888888888888889</v>
      </c>
      <c r="J77" s="1006">
        <v>3</v>
      </c>
      <c r="K77" s="993"/>
      <c r="L77" s="993"/>
      <c r="M77" s="993"/>
      <c r="N77" s="993"/>
      <c r="O77" s="993"/>
      <c r="P77" s="993"/>
      <c r="Q77" s="993"/>
      <c r="V77" s="670"/>
      <c r="W77" s="670"/>
      <c r="X77" s="670"/>
      <c r="Y77" s="670"/>
      <c r="Z77" s="670"/>
    </row>
    <row r="78" spans="1:26" ht="15" customHeight="1" x14ac:dyDescent="0.25">
      <c r="A78" s="1002" t="s">
        <v>1070</v>
      </c>
      <c r="B78" s="1003">
        <v>187</v>
      </c>
      <c r="C78" s="1003">
        <v>36</v>
      </c>
      <c r="D78" s="1003">
        <v>426</v>
      </c>
      <c r="E78" s="1003">
        <v>158</v>
      </c>
      <c r="F78" s="1003">
        <f t="shared" si="1"/>
        <v>67.571428571428569</v>
      </c>
      <c r="G78" s="1004">
        <f t="shared" si="2"/>
        <v>8.4507042253521125E-2</v>
      </c>
      <c r="H78" s="1004">
        <f t="shared" si="3"/>
        <v>0.22784810126582278</v>
      </c>
      <c r="I78" s="1005">
        <f t="shared" si="4"/>
        <v>1.6962025316455696</v>
      </c>
      <c r="J78" s="1006">
        <v>3</v>
      </c>
      <c r="K78" s="993"/>
      <c r="L78" s="993"/>
      <c r="M78" s="993"/>
      <c r="N78" s="993"/>
      <c r="O78" s="993"/>
      <c r="P78" s="993"/>
      <c r="Q78" s="993"/>
      <c r="V78" s="670"/>
      <c r="W78" s="670"/>
      <c r="X78" s="670"/>
      <c r="Y78" s="670"/>
      <c r="Z78" s="670"/>
    </row>
    <row r="79" spans="1:26" ht="15" customHeight="1" x14ac:dyDescent="0.25">
      <c r="A79" s="1002" t="s">
        <v>1071</v>
      </c>
      <c r="B79" s="1003">
        <v>183</v>
      </c>
      <c r="C79" s="1003">
        <v>-44</v>
      </c>
      <c r="D79" s="1003">
        <v>698</v>
      </c>
      <c r="E79" s="1003">
        <v>652</v>
      </c>
      <c r="F79" s="1003">
        <f t="shared" si="1"/>
        <v>38.142857142857139</v>
      </c>
      <c r="G79" s="1004">
        <f t="shared" si="2"/>
        <v>-6.3037249283667621E-2</v>
      </c>
      <c r="H79" s="1004">
        <f t="shared" si="3"/>
        <v>-6.7484662576687116E-2</v>
      </c>
      <c r="I79" s="1005">
        <f t="shared" si="4"/>
        <v>7.0552147239263799E-2</v>
      </c>
      <c r="J79" s="1006">
        <v>2</v>
      </c>
      <c r="K79" s="993"/>
      <c r="L79" s="993"/>
      <c r="M79" s="993"/>
      <c r="N79" s="993"/>
      <c r="O79" s="993"/>
      <c r="P79" s="993"/>
      <c r="Q79" s="993"/>
      <c r="V79" s="670"/>
      <c r="W79" s="670"/>
      <c r="X79" s="670"/>
      <c r="Y79" s="670"/>
      <c r="Z79" s="670"/>
    </row>
    <row r="80" spans="1:26" ht="15" customHeight="1" x14ac:dyDescent="0.25">
      <c r="A80" s="1002" t="s">
        <v>1072</v>
      </c>
      <c r="B80" s="1003">
        <v>179</v>
      </c>
      <c r="C80" s="1003">
        <v>-14</v>
      </c>
      <c r="D80" s="1003">
        <v>139</v>
      </c>
      <c r="E80" s="1003">
        <v>25</v>
      </c>
      <c r="F80" s="1003">
        <f t="shared" si="1"/>
        <v>-13.928571428571429</v>
      </c>
      <c r="G80" s="1004">
        <f t="shared" si="2"/>
        <v>-0.10071942446043165</v>
      </c>
      <c r="H80" s="1004">
        <f t="shared" si="3"/>
        <v>-0.56000000000000005</v>
      </c>
      <c r="I80" s="1005">
        <f t="shared" si="4"/>
        <v>4.5599999999999996</v>
      </c>
      <c r="J80" s="1006">
        <v>1</v>
      </c>
      <c r="K80" s="993"/>
      <c r="L80" s="993"/>
      <c r="M80" s="993"/>
      <c r="N80" s="993"/>
      <c r="O80" s="993"/>
      <c r="P80" s="993"/>
      <c r="Q80" s="993"/>
      <c r="V80" s="670"/>
      <c r="W80" s="670"/>
      <c r="X80" s="670"/>
      <c r="Y80" s="670"/>
      <c r="Z80" s="670"/>
    </row>
    <row r="81" spans="1:26" ht="15" customHeight="1" x14ac:dyDescent="0.25">
      <c r="A81" s="1002" t="s">
        <v>1073</v>
      </c>
      <c r="B81" s="1003">
        <v>173</v>
      </c>
      <c r="C81" s="1003">
        <v>11</v>
      </c>
      <c r="D81" s="1003">
        <v>122</v>
      </c>
      <c r="E81" s="1003">
        <v>60</v>
      </c>
      <c r="F81" s="1003">
        <f t="shared" si="1"/>
        <v>22.321428571428569</v>
      </c>
      <c r="G81" s="1004">
        <f t="shared" si="2"/>
        <v>9.0163934426229511E-2</v>
      </c>
      <c r="H81" s="1004">
        <f t="shared" si="3"/>
        <v>0.18333333333333332</v>
      </c>
      <c r="I81" s="1005">
        <f t="shared" si="4"/>
        <v>1.0333333333333334</v>
      </c>
      <c r="J81" s="1006">
        <v>2</v>
      </c>
      <c r="K81" s="993"/>
      <c r="L81" s="993"/>
      <c r="M81" s="993"/>
      <c r="N81" s="993"/>
      <c r="O81" s="993"/>
      <c r="P81" s="993"/>
      <c r="Q81" s="993"/>
      <c r="V81" s="670"/>
      <c r="W81" s="670"/>
      <c r="X81" s="670"/>
      <c r="Y81" s="670"/>
      <c r="Z81" s="670"/>
    </row>
    <row r="82" spans="1:26" ht="15" customHeight="1" x14ac:dyDescent="0.25">
      <c r="A82" s="1002" t="s">
        <v>1074</v>
      </c>
      <c r="B82" s="1003">
        <v>128</v>
      </c>
      <c r="C82" s="1003">
        <v>15</v>
      </c>
      <c r="D82" s="1003">
        <v>134</v>
      </c>
      <c r="E82" s="1003">
        <v>121</v>
      </c>
      <c r="F82" s="1003">
        <f t="shared" si="1"/>
        <v>36.035714285714285</v>
      </c>
      <c r="G82" s="1004">
        <f t="shared" si="2"/>
        <v>0.11194029850746269</v>
      </c>
      <c r="H82" s="1004">
        <f t="shared" si="3"/>
        <v>0.12396694214876033</v>
      </c>
      <c r="I82" s="1005">
        <f t="shared" si="4"/>
        <v>0.10743801652892562</v>
      </c>
      <c r="J82" s="1006">
        <v>2</v>
      </c>
      <c r="K82" s="993"/>
      <c r="L82" s="993"/>
      <c r="M82" s="993"/>
      <c r="N82" s="993"/>
      <c r="O82" s="993"/>
      <c r="P82" s="993"/>
      <c r="Q82" s="993"/>
      <c r="V82" s="670"/>
      <c r="W82" s="670"/>
      <c r="X82" s="670"/>
      <c r="Y82" s="670"/>
      <c r="Z82" s="670"/>
    </row>
    <row r="83" spans="1:26" ht="15" customHeight="1" x14ac:dyDescent="0.25">
      <c r="A83" s="1002" t="s">
        <v>1075</v>
      </c>
      <c r="B83" s="1003">
        <v>104</v>
      </c>
      <c r="C83" s="1003">
        <v>3</v>
      </c>
      <c r="D83" s="1003">
        <v>39</v>
      </c>
      <c r="E83" s="1003">
        <v>11</v>
      </c>
      <c r="F83" s="1003">
        <f t="shared" si="1"/>
        <v>5.3214285714285712</v>
      </c>
      <c r="G83" s="1004">
        <f t="shared" si="2"/>
        <v>7.6923076923076927E-2</v>
      </c>
      <c r="H83" s="1004">
        <f t="shared" si="3"/>
        <v>0.27272727272727271</v>
      </c>
      <c r="I83" s="1005">
        <f t="shared" si="4"/>
        <v>2.5454545454545454</v>
      </c>
      <c r="J83" s="1006">
        <v>2</v>
      </c>
      <c r="K83" s="993"/>
      <c r="L83" s="993"/>
      <c r="M83" s="993"/>
      <c r="N83" s="993"/>
      <c r="O83" s="993"/>
      <c r="P83" s="993"/>
      <c r="Q83" s="993"/>
      <c r="V83" s="670"/>
      <c r="W83" s="670"/>
      <c r="X83" s="670"/>
      <c r="Y83" s="670"/>
      <c r="Z83" s="670"/>
    </row>
    <row r="84" spans="1:26" ht="15" customHeight="1" x14ac:dyDescent="0.25">
      <c r="A84" s="1002" t="s">
        <v>1076</v>
      </c>
      <c r="B84" s="1003">
        <v>99</v>
      </c>
      <c r="C84" s="1003">
        <v>3</v>
      </c>
      <c r="D84" s="1003">
        <v>69</v>
      </c>
      <c r="E84" s="1003">
        <v>4</v>
      </c>
      <c r="F84" s="1003">
        <f t="shared" si="1"/>
        <v>4.3214285714285712</v>
      </c>
      <c r="G84" s="1004">
        <f t="shared" si="2"/>
        <v>4.3478260869565216E-2</v>
      </c>
      <c r="H84" s="1004">
        <f t="shared" si="3"/>
        <v>0.75</v>
      </c>
      <c r="I84" s="1005">
        <f t="shared" si="4"/>
        <v>16.25</v>
      </c>
      <c r="J84" s="1006">
        <v>2</v>
      </c>
      <c r="K84" s="993"/>
      <c r="L84" s="993"/>
      <c r="M84" s="993"/>
      <c r="N84" s="993"/>
      <c r="O84" s="993"/>
      <c r="P84" s="993"/>
      <c r="Q84" s="993"/>
      <c r="V84" s="670"/>
      <c r="W84" s="670"/>
      <c r="X84" s="670"/>
      <c r="Y84" s="670"/>
      <c r="Z84" s="670"/>
    </row>
    <row r="85" spans="1:26" ht="15" customHeight="1" x14ac:dyDescent="0.25">
      <c r="A85" s="1002" t="s">
        <v>1077</v>
      </c>
      <c r="B85" s="1003">
        <v>92</v>
      </c>
      <c r="C85" s="1003">
        <v>-3</v>
      </c>
      <c r="D85" s="1003">
        <v>58</v>
      </c>
      <c r="E85" s="1003">
        <v>11</v>
      </c>
      <c r="F85" s="1003">
        <f t="shared" si="1"/>
        <v>-2.1785714285714288</v>
      </c>
      <c r="G85" s="1004">
        <f t="shared" si="2"/>
        <v>-5.1724137931034482E-2</v>
      </c>
      <c r="H85" s="1004">
        <f t="shared" si="3"/>
        <v>-0.27272727272727271</v>
      </c>
      <c r="I85" s="1005">
        <f t="shared" si="4"/>
        <v>4.2727272727272725</v>
      </c>
      <c r="J85" s="1006">
        <v>2</v>
      </c>
      <c r="K85" s="993"/>
      <c r="L85" s="993"/>
      <c r="M85" s="993"/>
      <c r="N85" s="993"/>
      <c r="O85" s="993"/>
      <c r="P85" s="993"/>
      <c r="Q85" s="993"/>
      <c r="V85" s="670"/>
      <c r="W85" s="670"/>
      <c r="X85" s="670"/>
      <c r="Y85" s="670"/>
      <c r="Z85" s="670"/>
    </row>
    <row r="86" spans="1:26" ht="15" customHeight="1" x14ac:dyDescent="0.25">
      <c r="A86" s="1002" t="s">
        <v>1078</v>
      </c>
      <c r="B86" s="1003">
        <v>70</v>
      </c>
      <c r="C86" s="1003">
        <v>0</v>
      </c>
      <c r="D86" s="1003">
        <v>66</v>
      </c>
      <c r="E86" s="1003">
        <v>18</v>
      </c>
      <c r="F86" s="1003">
        <f t="shared" si="1"/>
        <v>2.5714285714285716</v>
      </c>
      <c r="G86" s="1004">
        <f t="shared" si="2"/>
        <v>0</v>
      </c>
      <c r="H86" s="1004">
        <f t="shared" si="3"/>
        <v>0</v>
      </c>
      <c r="I86" s="1005">
        <f t="shared" si="4"/>
        <v>2.6666666666666665</v>
      </c>
      <c r="J86" s="1006">
        <v>2</v>
      </c>
      <c r="K86" s="993"/>
      <c r="L86" s="993"/>
      <c r="M86" s="993"/>
      <c r="N86" s="993"/>
      <c r="O86" s="993"/>
      <c r="P86" s="993"/>
      <c r="Q86" s="993"/>
      <c r="V86" s="670"/>
      <c r="W86" s="670"/>
      <c r="X86" s="670"/>
      <c r="Y86" s="670"/>
      <c r="Z86" s="670"/>
    </row>
    <row r="87" spans="1:26" ht="15" customHeight="1" x14ac:dyDescent="0.25">
      <c r="A87" s="1002" t="s">
        <v>1079</v>
      </c>
      <c r="B87" s="1003">
        <v>64</v>
      </c>
      <c r="C87" s="1003">
        <v>18</v>
      </c>
      <c r="D87" s="1003">
        <v>16</v>
      </c>
      <c r="E87" s="1003">
        <v>8</v>
      </c>
      <c r="F87" s="1003">
        <f t="shared" si="1"/>
        <v>23.642857142857142</v>
      </c>
      <c r="G87" s="1004">
        <f t="shared" si="2"/>
        <v>1.125</v>
      </c>
      <c r="H87" s="1004">
        <f t="shared" si="3"/>
        <v>2.25</v>
      </c>
      <c r="I87" s="1005">
        <f t="shared" si="4"/>
        <v>1</v>
      </c>
      <c r="J87" s="1006">
        <v>1</v>
      </c>
      <c r="K87" s="993"/>
      <c r="L87" s="993"/>
      <c r="M87" s="993"/>
      <c r="N87" s="993"/>
      <c r="O87" s="993"/>
      <c r="P87" s="993"/>
      <c r="Q87" s="993"/>
      <c r="V87" s="670"/>
      <c r="W87" s="670"/>
      <c r="X87" s="670"/>
      <c r="Y87" s="670"/>
      <c r="Z87" s="670"/>
    </row>
    <row r="88" spans="1:26" ht="15" customHeight="1" x14ac:dyDescent="0.25">
      <c r="A88" s="1002" t="s">
        <v>1080</v>
      </c>
      <c r="B88" s="1003">
        <v>52</v>
      </c>
      <c r="C88" s="1003">
        <v>-6</v>
      </c>
      <c r="D88" s="1003">
        <v>13</v>
      </c>
      <c r="E88" s="1003">
        <v>-27</v>
      </c>
      <c r="F88" s="1003">
        <f t="shared" si="1"/>
        <v>-11.357142857142858</v>
      </c>
      <c r="G88" s="1004">
        <f t="shared" si="2"/>
        <v>-0.46153846153846156</v>
      </c>
      <c r="H88" s="1004">
        <f t="shared" si="3"/>
        <v>0.22222222222222221</v>
      </c>
      <c r="I88" s="1005">
        <f t="shared" si="4"/>
        <v>-1.4814814814814814</v>
      </c>
      <c r="J88" s="1006">
        <v>2</v>
      </c>
      <c r="K88" s="993"/>
      <c r="L88" s="993"/>
      <c r="M88" s="993"/>
      <c r="N88" s="993"/>
      <c r="O88" s="993"/>
      <c r="P88" s="993"/>
      <c r="Q88" s="993"/>
      <c r="V88" s="670"/>
      <c r="W88" s="670"/>
      <c r="X88" s="670"/>
      <c r="Y88" s="670"/>
      <c r="Z88" s="670"/>
    </row>
    <row r="89" spans="1:26" ht="15" customHeight="1" x14ac:dyDescent="0.25">
      <c r="A89" s="1002"/>
      <c r="B89" s="1003"/>
      <c r="C89" s="1003"/>
      <c r="D89" s="1003"/>
      <c r="E89" s="1003"/>
      <c r="F89" s="1003"/>
      <c r="G89" s="1004"/>
      <c r="H89" s="1004"/>
      <c r="I89" s="1005"/>
      <c r="J89" s="1006"/>
      <c r="K89" s="993"/>
      <c r="L89" s="993"/>
      <c r="M89" s="993"/>
      <c r="N89" s="993"/>
      <c r="O89" s="993"/>
      <c r="P89" s="993"/>
      <c r="Q89" s="993"/>
      <c r="V89" s="670"/>
      <c r="W89" s="670"/>
      <c r="X89" s="670"/>
      <c r="Y89" s="670"/>
      <c r="Z89" s="670"/>
    </row>
    <row r="90" spans="1:26" ht="15" customHeight="1" x14ac:dyDescent="0.25">
      <c r="A90" s="1008" t="s">
        <v>336</v>
      </c>
      <c r="B90" s="1009">
        <f>+MEDIAN(B69:B88)</f>
        <v>185</v>
      </c>
      <c r="C90" s="1009">
        <f t="shared" ref="C90:J90" si="5">+MEDIAN(C69:C88)</f>
        <v>7.5</v>
      </c>
      <c r="D90" s="1009">
        <f t="shared" si="5"/>
        <v>140</v>
      </c>
      <c r="E90" s="1009">
        <f t="shared" si="5"/>
        <v>51</v>
      </c>
      <c r="F90" s="1009">
        <f t="shared" si="5"/>
        <v>22.982142857142854</v>
      </c>
      <c r="G90" s="1010">
        <f t="shared" si="5"/>
        <v>6.0200668896321072E-2</v>
      </c>
      <c r="H90" s="1010">
        <f t="shared" si="5"/>
        <v>0.20277777777777778</v>
      </c>
      <c r="I90" s="1009">
        <f t="shared" si="5"/>
        <v>2.2757760532150773</v>
      </c>
      <c r="J90" s="1011">
        <f t="shared" si="5"/>
        <v>2</v>
      </c>
      <c r="K90" s="993"/>
      <c r="L90" s="993"/>
      <c r="M90" s="993"/>
      <c r="N90" s="993"/>
      <c r="O90" s="993"/>
      <c r="P90" s="993"/>
      <c r="Q90" s="993"/>
      <c r="V90" s="670"/>
      <c r="W90" s="670"/>
      <c r="X90" s="670"/>
      <c r="Y90" s="670"/>
      <c r="Z90" s="670"/>
    </row>
    <row r="91" spans="1:26" ht="15" customHeight="1" x14ac:dyDescent="0.25">
      <c r="A91" s="1008" t="s">
        <v>335</v>
      </c>
      <c r="B91" s="1009">
        <f>+AVERAGE(B69:B88)</f>
        <v>203.3</v>
      </c>
      <c r="C91" s="1009">
        <f t="shared" ref="C91:J91" si="6">+AVERAGE(C69:C88)</f>
        <v>21.3</v>
      </c>
      <c r="D91" s="1009">
        <f t="shared" si="6"/>
        <v>298.75</v>
      </c>
      <c r="E91" s="1009">
        <f t="shared" si="6"/>
        <v>116.5</v>
      </c>
      <c r="F91" s="1009">
        <f t="shared" si="6"/>
        <v>43.267857142857132</v>
      </c>
      <c r="G91" s="1010">
        <f t="shared" si="6"/>
        <v>9.322749127224203E-2</v>
      </c>
      <c r="H91" s="1010">
        <f t="shared" si="6"/>
        <v>0.31659625213656184</v>
      </c>
      <c r="I91" s="1012">
        <f t="shared" si="6"/>
        <v>2.8025941180452145</v>
      </c>
      <c r="J91" s="1011">
        <f t="shared" si="6"/>
        <v>2.0499999999999998</v>
      </c>
      <c r="K91" s="993"/>
      <c r="L91" s="993"/>
      <c r="M91" s="993"/>
      <c r="N91" s="993"/>
      <c r="O91" s="993"/>
      <c r="P91" s="993"/>
      <c r="Q91" s="993"/>
      <c r="V91" s="670"/>
      <c r="W91" s="670"/>
      <c r="X91" s="670"/>
      <c r="Y91" s="670"/>
      <c r="Z91" s="670"/>
    </row>
    <row r="92" spans="1:26" ht="15" customHeight="1" thickBot="1" x14ac:dyDescent="0.3">
      <c r="A92" s="1013"/>
      <c r="B92" s="1014"/>
      <c r="C92" s="1014"/>
      <c r="D92" s="1014"/>
      <c r="E92" s="1014"/>
      <c r="F92" s="1014"/>
      <c r="G92" s="1014"/>
      <c r="H92" s="1014"/>
      <c r="I92" s="1014"/>
      <c r="J92" s="1015"/>
      <c r="K92" s="993"/>
      <c r="L92" s="993"/>
      <c r="M92" s="993"/>
      <c r="N92" s="993"/>
      <c r="O92" s="993"/>
      <c r="P92" s="993"/>
      <c r="Q92" s="993"/>
      <c r="V92" s="670"/>
      <c r="W92" s="670"/>
      <c r="X92" s="670"/>
      <c r="Y92" s="670"/>
      <c r="Z92" s="670"/>
    </row>
    <row r="93" spans="1:26" ht="15" customHeight="1" x14ac:dyDescent="0.25">
      <c r="A93" s="768"/>
      <c r="B93" s="1016"/>
      <c r="C93" s="1016"/>
      <c r="D93" s="1016"/>
      <c r="E93" s="1016"/>
      <c r="F93" s="1016"/>
      <c r="G93" s="1016"/>
      <c r="H93" s="1016"/>
      <c r="I93" s="1016"/>
      <c r="J93" s="1016"/>
      <c r="K93" s="993"/>
      <c r="L93" s="993"/>
      <c r="M93" s="993"/>
      <c r="N93" s="993"/>
      <c r="O93" s="993"/>
      <c r="P93" s="993"/>
      <c r="Q93" s="993"/>
      <c r="V93" s="670"/>
      <c r="W93" s="670"/>
      <c r="X93" s="670"/>
      <c r="Y93" s="670"/>
      <c r="Z93" s="670"/>
    </row>
    <row r="94" spans="1:26" ht="15" customHeight="1" thickBot="1" x14ac:dyDescent="0.3">
      <c r="A94" s="671" t="s">
        <v>1085</v>
      </c>
      <c r="B94" s="1016"/>
      <c r="C94" s="1016"/>
      <c r="D94" s="1016"/>
      <c r="E94" s="1016"/>
      <c r="F94" s="1016"/>
      <c r="G94" s="1016"/>
      <c r="H94" s="1016"/>
      <c r="I94" s="1016"/>
      <c r="J94" s="1016"/>
      <c r="K94" s="993"/>
      <c r="L94" s="993"/>
      <c r="M94" s="993"/>
      <c r="N94" s="993"/>
      <c r="O94" s="993"/>
      <c r="P94" s="993"/>
      <c r="Q94" s="993"/>
      <c r="V94" s="670"/>
      <c r="W94" s="670"/>
      <c r="X94" s="670"/>
      <c r="Y94" s="670"/>
      <c r="Z94" s="670"/>
    </row>
    <row r="95" spans="1:26" ht="15" customHeight="1" x14ac:dyDescent="0.25">
      <c r="A95" s="994" t="s">
        <v>1053</v>
      </c>
      <c r="B95" s="995" t="s">
        <v>147</v>
      </c>
      <c r="C95" s="995" t="s">
        <v>290</v>
      </c>
      <c r="D95" s="995" t="s">
        <v>1054</v>
      </c>
      <c r="E95" s="995" t="s">
        <v>1055</v>
      </c>
      <c r="F95" s="995" t="s">
        <v>80</v>
      </c>
      <c r="G95" s="995" t="s">
        <v>1056</v>
      </c>
      <c r="H95" s="995" t="s">
        <v>1057</v>
      </c>
      <c r="I95" s="996" t="s">
        <v>1058</v>
      </c>
      <c r="J95" s="997" t="s">
        <v>1059</v>
      </c>
      <c r="K95" s="993"/>
      <c r="L95" s="993"/>
      <c r="M95" s="993"/>
      <c r="N95" s="993"/>
      <c r="O95" s="993"/>
      <c r="P95" s="993"/>
      <c r="Q95" s="993"/>
      <c r="V95" s="670"/>
      <c r="W95" s="670"/>
      <c r="X95" s="670"/>
      <c r="Y95" s="670"/>
      <c r="Z95" s="670"/>
    </row>
    <row r="96" spans="1:26" ht="15" customHeight="1" x14ac:dyDescent="0.25">
      <c r="A96" s="998"/>
      <c r="B96" s="999" t="s">
        <v>1060</v>
      </c>
      <c r="C96" s="999" t="s">
        <v>1060</v>
      </c>
      <c r="D96" s="999" t="s">
        <v>1060</v>
      </c>
      <c r="E96" s="999" t="s">
        <v>1060</v>
      </c>
      <c r="F96" s="999" t="s">
        <v>1060</v>
      </c>
      <c r="G96" s="1000" t="s">
        <v>144</v>
      </c>
      <c r="H96" s="1000" t="s">
        <v>144</v>
      </c>
      <c r="I96" s="1000"/>
      <c r="J96" s="1001"/>
      <c r="K96" s="993"/>
      <c r="L96" s="993"/>
      <c r="M96" s="993"/>
      <c r="N96" s="993"/>
      <c r="O96" s="993"/>
      <c r="P96" s="993"/>
      <c r="Q96" s="993"/>
      <c r="V96" s="670"/>
      <c r="W96" s="670"/>
      <c r="X96" s="670"/>
      <c r="Y96" s="670"/>
      <c r="Z96" s="670"/>
    </row>
    <row r="97" spans="1:24" ht="15" customHeight="1" x14ac:dyDescent="0.25">
      <c r="A97" s="1002" t="s">
        <v>1061</v>
      </c>
      <c r="B97" s="1003">
        <v>459</v>
      </c>
      <c r="C97" s="1003">
        <v>89</v>
      </c>
      <c r="D97" s="1003">
        <v>451</v>
      </c>
      <c r="E97" s="1003">
        <v>57</v>
      </c>
      <c r="F97" s="1003">
        <f t="shared" ref="F97:F116" si="7">+C97/0.8+E97/7</f>
        <v>119.39285714285714</v>
      </c>
      <c r="G97" s="1004">
        <f t="shared" ref="G97:G116" si="8">+C97/D97</f>
        <v>0.19733924611973391</v>
      </c>
      <c r="H97" s="1004">
        <f t="shared" ref="H97:H116" si="9">+C97/E97</f>
        <v>1.5614035087719298</v>
      </c>
      <c r="I97" s="1005">
        <f t="shared" ref="I97:I116" si="10">+(D97-E97)/E97</f>
        <v>6.9122807017543861</v>
      </c>
      <c r="J97" s="1006">
        <v>2</v>
      </c>
      <c r="K97" s="1017"/>
      <c r="L97" s="1017"/>
      <c r="M97" s="993"/>
      <c r="N97" s="993"/>
      <c r="O97" s="993"/>
      <c r="P97" s="993"/>
      <c r="Q97" s="993"/>
      <c r="V97" s="670"/>
      <c r="W97" s="670"/>
      <c r="X97" s="670"/>
    </row>
    <row r="98" spans="1:24" ht="15" customHeight="1" x14ac:dyDescent="0.25">
      <c r="A98" s="1002" t="s">
        <v>1062</v>
      </c>
      <c r="B98" s="1003">
        <v>297</v>
      </c>
      <c r="C98" s="1003">
        <v>66</v>
      </c>
      <c r="D98" s="1003">
        <v>125</v>
      </c>
      <c r="E98" s="1003">
        <v>84</v>
      </c>
      <c r="F98" s="1003">
        <f t="shared" si="7"/>
        <v>94.5</v>
      </c>
      <c r="G98" s="1004">
        <f t="shared" si="8"/>
        <v>0.52800000000000002</v>
      </c>
      <c r="H98" s="1004">
        <f t="shared" si="9"/>
        <v>0.7857142857142857</v>
      </c>
      <c r="I98" s="1005">
        <f t="shared" si="10"/>
        <v>0.48809523809523808</v>
      </c>
      <c r="J98" s="1006">
        <v>3</v>
      </c>
      <c r="K98" s="1017"/>
      <c r="L98" s="1017"/>
      <c r="M98" s="993"/>
      <c r="N98" s="993"/>
      <c r="O98" s="993"/>
      <c r="P98" s="993"/>
      <c r="Q98" s="993"/>
      <c r="V98" s="670"/>
      <c r="W98" s="670"/>
      <c r="X98" s="670"/>
    </row>
    <row r="99" spans="1:24" ht="15" customHeight="1" x14ac:dyDescent="0.25">
      <c r="A99" s="1002" t="s">
        <v>1063</v>
      </c>
      <c r="B99" s="1003">
        <v>255</v>
      </c>
      <c r="C99" s="1003">
        <v>13</v>
      </c>
      <c r="D99" s="1003">
        <v>77</v>
      </c>
      <c r="E99" s="1003">
        <v>12</v>
      </c>
      <c r="F99" s="1003">
        <f t="shared" si="7"/>
        <v>17.964285714285715</v>
      </c>
      <c r="G99" s="1004">
        <f t="shared" si="8"/>
        <v>0.16883116883116883</v>
      </c>
      <c r="H99" s="1004">
        <f t="shared" si="9"/>
        <v>1.0833333333333333</v>
      </c>
      <c r="I99" s="1005">
        <f t="shared" si="10"/>
        <v>5.416666666666667</v>
      </c>
      <c r="J99" s="1006">
        <v>2</v>
      </c>
      <c r="K99" s="1017"/>
      <c r="L99" s="1017"/>
      <c r="M99" s="993"/>
      <c r="N99" s="993"/>
      <c r="O99" s="993"/>
      <c r="P99" s="993"/>
      <c r="Q99" s="993"/>
      <c r="V99" s="670"/>
      <c r="W99" s="670"/>
      <c r="X99" s="670"/>
    </row>
    <row r="100" spans="1:24" ht="15" customHeight="1" x14ac:dyDescent="0.25">
      <c r="A100" s="1002" t="s">
        <v>1064</v>
      </c>
      <c r="B100" s="1003">
        <v>90</v>
      </c>
      <c r="C100" s="1003">
        <v>-30</v>
      </c>
      <c r="D100" s="1003">
        <v>640</v>
      </c>
      <c r="E100" s="1003">
        <v>496</v>
      </c>
      <c r="F100" s="1003">
        <f t="shared" si="7"/>
        <v>33.357142857142861</v>
      </c>
      <c r="G100" s="1004">
        <f t="shared" si="8"/>
        <v>-4.6875E-2</v>
      </c>
      <c r="H100" s="1004">
        <f t="shared" si="9"/>
        <v>-6.0483870967741937E-2</v>
      </c>
      <c r="I100" s="1005">
        <f t="shared" si="10"/>
        <v>0.29032258064516131</v>
      </c>
      <c r="J100" s="1006">
        <v>1</v>
      </c>
      <c r="K100" s="1017"/>
      <c r="L100" s="1017"/>
      <c r="M100" s="993"/>
      <c r="N100" s="993"/>
      <c r="O100" s="993"/>
      <c r="P100" s="993"/>
      <c r="Q100" s="993"/>
      <c r="V100" s="670"/>
      <c r="W100" s="670"/>
      <c r="X100" s="670"/>
    </row>
    <row r="101" spans="1:24" ht="15" customHeight="1" x14ac:dyDescent="0.25">
      <c r="A101" s="1002" t="s">
        <v>1065</v>
      </c>
      <c r="B101" s="1003">
        <v>275</v>
      </c>
      <c r="C101" s="1003">
        <v>2</v>
      </c>
      <c r="D101" s="1003">
        <v>164</v>
      </c>
      <c r="E101" s="1003">
        <v>30</v>
      </c>
      <c r="F101" s="1003">
        <f t="shared" si="7"/>
        <v>6.7857142857142856</v>
      </c>
      <c r="G101" s="1004">
        <f t="shared" si="8"/>
        <v>1.2195121951219513E-2</v>
      </c>
      <c r="H101" s="1004">
        <f t="shared" si="9"/>
        <v>6.6666666666666666E-2</v>
      </c>
      <c r="I101" s="1005">
        <f t="shared" si="10"/>
        <v>4.4666666666666668</v>
      </c>
      <c r="J101" s="1006">
        <v>1</v>
      </c>
      <c r="K101" s="1017"/>
      <c r="L101" s="1017"/>
      <c r="M101" s="993"/>
      <c r="N101" s="993"/>
      <c r="O101" s="993"/>
      <c r="P101" s="993"/>
      <c r="Q101" s="993"/>
      <c r="V101" s="670"/>
      <c r="W101" s="670"/>
      <c r="X101" s="670"/>
    </row>
    <row r="102" spans="1:24" ht="15" customHeight="1" x14ac:dyDescent="0.25">
      <c r="A102" s="1002" t="s">
        <v>1066</v>
      </c>
      <c r="B102" s="1003">
        <v>225</v>
      </c>
      <c r="C102" s="1003">
        <v>-10</v>
      </c>
      <c r="D102" s="1003">
        <v>480</v>
      </c>
      <c r="E102" s="1003">
        <v>126</v>
      </c>
      <c r="F102" s="1003">
        <f t="shared" si="7"/>
        <v>5.5</v>
      </c>
      <c r="G102" s="1004">
        <f t="shared" si="8"/>
        <v>-2.0833333333333332E-2</v>
      </c>
      <c r="H102" s="1004">
        <f t="shared" si="9"/>
        <v>-7.9365079365079361E-2</v>
      </c>
      <c r="I102" s="1005">
        <f t="shared" si="10"/>
        <v>2.8095238095238093</v>
      </c>
      <c r="J102" s="1006">
        <v>3</v>
      </c>
      <c r="K102" s="1017"/>
      <c r="L102" s="1017"/>
      <c r="M102" s="993"/>
      <c r="N102" s="993"/>
      <c r="O102" s="993"/>
      <c r="P102" s="993"/>
      <c r="Q102" s="993"/>
      <c r="V102" s="670"/>
      <c r="W102" s="670"/>
      <c r="X102" s="670"/>
    </row>
    <row r="103" spans="1:24" ht="15" customHeight="1" x14ac:dyDescent="0.25">
      <c r="A103" s="1002" t="s">
        <v>1067</v>
      </c>
      <c r="B103" s="1003">
        <v>227</v>
      </c>
      <c r="C103" s="1003">
        <v>-15</v>
      </c>
      <c r="D103" s="1003">
        <v>150</v>
      </c>
      <c r="E103" s="1003">
        <v>71</v>
      </c>
      <c r="F103" s="1003">
        <f t="shared" si="7"/>
        <v>-8.6071428571428577</v>
      </c>
      <c r="G103" s="1004">
        <f t="shared" si="8"/>
        <v>-0.1</v>
      </c>
      <c r="H103" s="1004">
        <f t="shared" si="9"/>
        <v>-0.21126760563380281</v>
      </c>
      <c r="I103" s="1005">
        <f t="shared" si="10"/>
        <v>1.1126760563380282</v>
      </c>
      <c r="J103" s="1006">
        <v>3</v>
      </c>
      <c r="K103" s="1017"/>
      <c r="L103" s="1017"/>
      <c r="M103" s="993"/>
      <c r="N103" s="993"/>
      <c r="O103" s="993"/>
      <c r="P103" s="993"/>
      <c r="Q103" s="993"/>
      <c r="V103" s="670"/>
      <c r="W103" s="670"/>
      <c r="X103" s="670"/>
    </row>
    <row r="104" spans="1:24" ht="15" customHeight="1" x14ac:dyDescent="0.25">
      <c r="A104" s="1002" t="s">
        <v>1068</v>
      </c>
      <c r="B104" s="1003">
        <v>196</v>
      </c>
      <c r="C104" s="1003">
        <v>26</v>
      </c>
      <c r="D104" s="1003">
        <v>491</v>
      </c>
      <c r="E104" s="1003">
        <v>156</v>
      </c>
      <c r="F104" s="1003">
        <f t="shared" si="7"/>
        <v>54.785714285714285</v>
      </c>
      <c r="G104" s="1004">
        <f t="shared" si="8"/>
        <v>5.2953156822810592E-2</v>
      </c>
      <c r="H104" s="1004">
        <f t="shared" si="9"/>
        <v>0.16666666666666666</v>
      </c>
      <c r="I104" s="1005">
        <f t="shared" si="10"/>
        <v>2.1474358974358974</v>
      </c>
      <c r="J104" s="1006">
        <v>2</v>
      </c>
      <c r="K104" s="1017"/>
      <c r="L104" s="1017"/>
      <c r="M104" s="993"/>
      <c r="N104" s="993"/>
      <c r="O104" s="993"/>
      <c r="P104" s="993"/>
      <c r="Q104" s="993"/>
      <c r="V104" s="670"/>
      <c r="W104" s="670"/>
      <c r="X104" s="670"/>
    </row>
    <row r="105" spans="1:24" ht="15" customHeight="1" x14ac:dyDescent="0.25">
      <c r="A105" s="1002" t="s">
        <v>1069</v>
      </c>
      <c r="B105" s="1003">
        <v>199</v>
      </c>
      <c r="C105" s="1003">
        <v>3</v>
      </c>
      <c r="D105" s="1003">
        <v>192</v>
      </c>
      <c r="E105" s="1003">
        <v>44</v>
      </c>
      <c r="F105" s="1003">
        <f t="shared" si="7"/>
        <v>10.035714285714285</v>
      </c>
      <c r="G105" s="1004">
        <f t="shared" si="8"/>
        <v>1.5625E-2</v>
      </c>
      <c r="H105" s="1004">
        <f t="shared" si="9"/>
        <v>6.8181818181818177E-2</v>
      </c>
      <c r="I105" s="1005">
        <f t="shared" si="10"/>
        <v>3.3636363636363638</v>
      </c>
      <c r="J105" s="1006">
        <v>3</v>
      </c>
      <c r="K105" s="1017"/>
      <c r="L105" s="1017"/>
      <c r="M105" s="993"/>
      <c r="N105" s="993"/>
      <c r="O105" s="993"/>
      <c r="P105" s="993"/>
      <c r="Q105" s="993"/>
      <c r="V105" s="670"/>
      <c r="W105" s="670"/>
      <c r="X105" s="670"/>
    </row>
    <row r="106" spans="1:24" ht="15" customHeight="1" x14ac:dyDescent="0.25">
      <c r="A106" s="1002" t="s">
        <v>1070</v>
      </c>
      <c r="B106" s="1003">
        <v>132</v>
      </c>
      <c r="C106" s="1003">
        <v>-61</v>
      </c>
      <c r="D106" s="1003">
        <v>412</v>
      </c>
      <c r="E106" s="1003">
        <v>134</v>
      </c>
      <c r="F106" s="1003">
        <f t="shared" si="7"/>
        <v>-57.107142857142861</v>
      </c>
      <c r="G106" s="1004">
        <f t="shared" si="8"/>
        <v>-0.14805825242718446</v>
      </c>
      <c r="H106" s="1004">
        <f t="shared" si="9"/>
        <v>-0.45522388059701491</v>
      </c>
      <c r="I106" s="1005">
        <f t="shared" si="10"/>
        <v>2.0746268656716418</v>
      </c>
      <c r="J106" s="1006">
        <v>3</v>
      </c>
      <c r="K106" s="1017"/>
      <c r="L106" s="1017"/>
      <c r="M106" s="993"/>
      <c r="N106" s="993"/>
      <c r="O106" s="993"/>
      <c r="P106" s="993"/>
      <c r="Q106" s="993"/>
      <c r="V106" s="670"/>
      <c r="W106" s="670"/>
      <c r="X106" s="670"/>
    </row>
    <row r="107" spans="1:24" ht="15" customHeight="1" x14ac:dyDescent="0.25">
      <c r="A107" s="1002" t="s">
        <v>1071</v>
      </c>
      <c r="B107" s="1003">
        <v>293</v>
      </c>
      <c r="C107" s="1003">
        <v>38</v>
      </c>
      <c r="D107" s="1003">
        <v>764</v>
      </c>
      <c r="E107" s="1003">
        <v>696</v>
      </c>
      <c r="F107" s="1003">
        <f t="shared" si="7"/>
        <v>146.92857142857144</v>
      </c>
      <c r="G107" s="1004">
        <f t="shared" si="8"/>
        <v>4.9738219895287955E-2</v>
      </c>
      <c r="H107" s="1004">
        <f t="shared" si="9"/>
        <v>5.459770114942529E-2</v>
      </c>
      <c r="I107" s="1005">
        <f t="shared" si="10"/>
        <v>9.7701149425287362E-2</v>
      </c>
      <c r="J107" s="1006">
        <v>2</v>
      </c>
      <c r="K107" s="1017"/>
      <c r="L107" s="1017"/>
      <c r="M107" s="993"/>
      <c r="N107" s="993"/>
      <c r="O107" s="993"/>
      <c r="P107" s="993"/>
      <c r="Q107" s="993"/>
      <c r="V107" s="670"/>
      <c r="W107" s="670"/>
      <c r="X107" s="670"/>
    </row>
    <row r="108" spans="1:24" ht="15" customHeight="1" x14ac:dyDescent="0.25">
      <c r="A108" s="1002" t="s">
        <v>1072</v>
      </c>
      <c r="B108" s="1003">
        <v>172</v>
      </c>
      <c r="C108" s="1003">
        <v>-7</v>
      </c>
      <c r="D108" s="1003">
        <v>170</v>
      </c>
      <c r="E108" s="1003">
        <v>34</v>
      </c>
      <c r="F108" s="1003">
        <f t="shared" si="7"/>
        <v>-3.8928571428571432</v>
      </c>
      <c r="G108" s="1004">
        <f t="shared" si="8"/>
        <v>-4.1176470588235294E-2</v>
      </c>
      <c r="H108" s="1004">
        <f t="shared" si="9"/>
        <v>-0.20588235294117646</v>
      </c>
      <c r="I108" s="1005">
        <f t="shared" si="10"/>
        <v>4</v>
      </c>
      <c r="J108" s="1006">
        <v>1</v>
      </c>
      <c r="K108" s="1017"/>
      <c r="L108" s="1017"/>
      <c r="M108" s="993"/>
      <c r="N108" s="993"/>
      <c r="O108" s="993"/>
      <c r="P108" s="993"/>
      <c r="Q108" s="993"/>
      <c r="V108" s="670"/>
      <c r="W108" s="670"/>
      <c r="X108" s="670"/>
    </row>
    <row r="109" spans="1:24" ht="15" customHeight="1" x14ac:dyDescent="0.25">
      <c r="A109" s="1002" t="s">
        <v>1073</v>
      </c>
      <c r="B109" s="1003">
        <v>209</v>
      </c>
      <c r="C109" s="1003">
        <v>70</v>
      </c>
      <c r="D109" s="1003">
        <v>108</v>
      </c>
      <c r="E109" s="1003">
        <v>52</v>
      </c>
      <c r="F109" s="1003">
        <f t="shared" si="7"/>
        <v>94.928571428571431</v>
      </c>
      <c r="G109" s="1004">
        <f t="shared" si="8"/>
        <v>0.64814814814814814</v>
      </c>
      <c r="H109" s="1004">
        <f t="shared" si="9"/>
        <v>1.3461538461538463</v>
      </c>
      <c r="I109" s="1005">
        <f t="shared" si="10"/>
        <v>1.0769230769230769</v>
      </c>
      <c r="J109" s="1006">
        <v>4</v>
      </c>
      <c r="K109" s="1017"/>
      <c r="L109" s="1017"/>
      <c r="M109" s="993"/>
      <c r="N109" s="993"/>
      <c r="O109" s="993"/>
      <c r="P109" s="993"/>
      <c r="Q109" s="993"/>
      <c r="V109" s="670"/>
      <c r="W109" s="670"/>
      <c r="X109" s="670"/>
    </row>
    <row r="110" spans="1:24" ht="15" customHeight="1" x14ac:dyDescent="0.25">
      <c r="A110" s="1002" t="s">
        <v>1074</v>
      </c>
      <c r="B110" s="1003">
        <v>186</v>
      </c>
      <c r="C110" s="1003">
        <v>33</v>
      </c>
      <c r="D110" s="1003">
        <v>131</v>
      </c>
      <c r="E110" s="1003">
        <v>114</v>
      </c>
      <c r="F110" s="1003">
        <f t="shared" si="7"/>
        <v>57.535714285714285</v>
      </c>
      <c r="G110" s="1004">
        <f t="shared" si="8"/>
        <v>0.25190839694656486</v>
      </c>
      <c r="H110" s="1004">
        <f t="shared" si="9"/>
        <v>0.28947368421052633</v>
      </c>
      <c r="I110" s="1005">
        <f t="shared" si="10"/>
        <v>0.14912280701754385</v>
      </c>
      <c r="J110" s="1006">
        <v>2</v>
      </c>
      <c r="K110" s="1017"/>
      <c r="L110" s="1017"/>
      <c r="M110" s="993"/>
      <c r="N110" s="993"/>
      <c r="O110" s="993"/>
      <c r="P110" s="993"/>
      <c r="Q110" s="993"/>
      <c r="V110" s="670"/>
      <c r="W110" s="670"/>
      <c r="X110" s="670"/>
    </row>
    <row r="111" spans="1:24" ht="15" customHeight="1" x14ac:dyDescent="0.25">
      <c r="A111" s="1002" t="s">
        <v>1075</v>
      </c>
      <c r="B111" s="1003">
        <v>114</v>
      </c>
      <c r="C111" s="1003">
        <v>2</v>
      </c>
      <c r="D111" s="1003">
        <v>68</v>
      </c>
      <c r="E111" s="1003">
        <v>9</v>
      </c>
      <c r="F111" s="1003">
        <f t="shared" si="7"/>
        <v>3.7857142857142856</v>
      </c>
      <c r="G111" s="1004">
        <f t="shared" si="8"/>
        <v>2.9411764705882353E-2</v>
      </c>
      <c r="H111" s="1004">
        <f t="shared" si="9"/>
        <v>0.22222222222222221</v>
      </c>
      <c r="I111" s="1005">
        <f t="shared" si="10"/>
        <v>6.5555555555555554</v>
      </c>
      <c r="J111" s="1006">
        <v>2</v>
      </c>
      <c r="K111" s="1017"/>
      <c r="L111" s="1017"/>
      <c r="M111" s="993"/>
      <c r="N111" s="993"/>
      <c r="O111" s="993"/>
      <c r="P111" s="993"/>
      <c r="Q111" s="993"/>
      <c r="V111" s="670"/>
      <c r="W111" s="670"/>
      <c r="X111" s="670"/>
    </row>
    <row r="112" spans="1:24" ht="15" customHeight="1" x14ac:dyDescent="0.25">
      <c r="A112" s="1002" t="s">
        <v>1076</v>
      </c>
      <c r="B112" s="1003">
        <v>84</v>
      </c>
      <c r="C112" s="1003">
        <v>-2</v>
      </c>
      <c r="D112" s="1003">
        <v>46</v>
      </c>
      <c r="E112" s="1003">
        <v>2</v>
      </c>
      <c r="F112" s="1003">
        <f t="shared" si="7"/>
        <v>-2.2142857142857144</v>
      </c>
      <c r="G112" s="1004">
        <f t="shared" si="8"/>
        <v>-4.3478260869565216E-2</v>
      </c>
      <c r="H112" s="1004">
        <f t="shared" si="9"/>
        <v>-1</v>
      </c>
      <c r="I112" s="1005">
        <f t="shared" si="10"/>
        <v>22</v>
      </c>
      <c r="J112" s="1006">
        <v>2</v>
      </c>
      <c r="K112" s="1017"/>
      <c r="L112" s="1017"/>
      <c r="M112" s="993"/>
      <c r="N112" s="993"/>
      <c r="O112" s="993"/>
      <c r="P112" s="993"/>
      <c r="Q112" s="993"/>
      <c r="V112" s="670"/>
      <c r="W112" s="670"/>
      <c r="X112" s="670"/>
    </row>
    <row r="113" spans="1:26" ht="15" customHeight="1" x14ac:dyDescent="0.25">
      <c r="A113" s="1002" t="s">
        <v>1077</v>
      </c>
      <c r="B113" s="1003">
        <v>102</v>
      </c>
      <c r="C113" s="1003">
        <v>2</v>
      </c>
      <c r="D113" s="1003">
        <v>69</v>
      </c>
      <c r="E113" s="1003">
        <v>13</v>
      </c>
      <c r="F113" s="1003">
        <f t="shared" si="7"/>
        <v>4.3571428571428577</v>
      </c>
      <c r="G113" s="1004">
        <f t="shared" si="8"/>
        <v>2.8985507246376812E-2</v>
      </c>
      <c r="H113" s="1004">
        <f t="shared" si="9"/>
        <v>0.15384615384615385</v>
      </c>
      <c r="I113" s="1005">
        <f t="shared" si="10"/>
        <v>4.3076923076923075</v>
      </c>
      <c r="J113" s="1006">
        <v>2</v>
      </c>
      <c r="K113" s="1017"/>
      <c r="L113" s="1017"/>
      <c r="M113" s="993"/>
      <c r="N113" s="993"/>
      <c r="O113" s="993"/>
      <c r="P113" s="993"/>
      <c r="Q113" s="993"/>
      <c r="V113" s="670"/>
      <c r="W113" s="670"/>
      <c r="X113" s="670"/>
    </row>
    <row r="114" spans="1:26" ht="15" customHeight="1" x14ac:dyDescent="0.25">
      <c r="A114" s="1002" t="s">
        <v>1078</v>
      </c>
      <c r="B114" s="1003">
        <v>172</v>
      </c>
      <c r="C114" s="1003">
        <v>6</v>
      </c>
      <c r="D114" s="1003">
        <v>73</v>
      </c>
      <c r="E114" s="1003">
        <v>18</v>
      </c>
      <c r="F114" s="1003">
        <f t="shared" si="7"/>
        <v>10.071428571428571</v>
      </c>
      <c r="G114" s="1004">
        <f t="shared" si="8"/>
        <v>8.2191780821917804E-2</v>
      </c>
      <c r="H114" s="1004">
        <f t="shared" si="9"/>
        <v>0.33333333333333331</v>
      </c>
      <c r="I114" s="1005">
        <f t="shared" si="10"/>
        <v>3.0555555555555554</v>
      </c>
      <c r="J114" s="1006">
        <v>2</v>
      </c>
      <c r="K114" s="1017"/>
      <c r="L114" s="1017"/>
      <c r="M114" s="993"/>
      <c r="N114" s="993"/>
      <c r="O114" s="993"/>
      <c r="P114" s="993"/>
      <c r="Q114" s="993"/>
      <c r="V114" s="670"/>
      <c r="W114" s="670"/>
      <c r="X114" s="670"/>
    </row>
    <row r="115" spans="1:26" ht="15" customHeight="1" x14ac:dyDescent="0.25">
      <c r="A115" s="1002" t="s">
        <v>1079</v>
      </c>
      <c r="B115" s="1003">
        <v>79</v>
      </c>
      <c r="C115" s="1003">
        <v>-14</v>
      </c>
      <c r="D115" s="1003">
        <v>37</v>
      </c>
      <c r="E115" s="1003">
        <v>-4</v>
      </c>
      <c r="F115" s="1003">
        <f t="shared" si="7"/>
        <v>-18.071428571428573</v>
      </c>
      <c r="G115" s="1004">
        <f t="shared" si="8"/>
        <v>-0.3783783783783784</v>
      </c>
      <c r="H115" s="1004">
        <f t="shared" si="9"/>
        <v>3.5</v>
      </c>
      <c r="I115" s="1005">
        <f t="shared" si="10"/>
        <v>-10.25</v>
      </c>
      <c r="J115" s="1006">
        <v>1</v>
      </c>
      <c r="K115" s="1017"/>
      <c r="L115" s="1017"/>
      <c r="M115" s="993"/>
      <c r="N115" s="993"/>
      <c r="O115" s="993"/>
      <c r="P115" s="993"/>
      <c r="Q115" s="993"/>
      <c r="V115" s="670"/>
      <c r="W115" s="670"/>
      <c r="X115" s="670"/>
    </row>
    <row r="116" spans="1:26" ht="15" customHeight="1" x14ac:dyDescent="0.25">
      <c r="A116" s="1002" t="s">
        <v>1080</v>
      </c>
      <c r="B116" s="1003">
        <v>56</v>
      </c>
      <c r="C116" s="1003">
        <v>-5</v>
      </c>
      <c r="D116" s="1003">
        <v>24</v>
      </c>
      <c r="E116" s="1003">
        <v>-21</v>
      </c>
      <c r="F116" s="1003">
        <f t="shared" si="7"/>
        <v>-9.25</v>
      </c>
      <c r="G116" s="1004">
        <f t="shared" si="8"/>
        <v>-0.20833333333333334</v>
      </c>
      <c r="H116" s="1004">
        <f t="shared" si="9"/>
        <v>0.23809523809523808</v>
      </c>
      <c r="I116" s="1005">
        <f t="shared" si="10"/>
        <v>-2.1428571428571428</v>
      </c>
      <c r="J116" s="1006">
        <v>2</v>
      </c>
      <c r="K116" s="1017"/>
      <c r="L116" s="1017"/>
      <c r="M116" s="993"/>
      <c r="N116" s="993"/>
      <c r="O116" s="993"/>
      <c r="P116" s="993"/>
      <c r="Q116" s="993"/>
      <c r="V116" s="670"/>
      <c r="W116" s="670"/>
      <c r="X116" s="670"/>
    </row>
    <row r="117" spans="1:26" ht="15" customHeight="1" x14ac:dyDescent="0.25">
      <c r="A117" s="749"/>
      <c r="B117" s="1018"/>
      <c r="C117" s="1018"/>
      <c r="D117" s="1018"/>
      <c r="E117" s="1018"/>
      <c r="F117" s="1018"/>
      <c r="G117" s="1018"/>
      <c r="H117" s="1018"/>
      <c r="I117" s="1018"/>
      <c r="J117" s="1019"/>
      <c r="K117" s="1017"/>
      <c r="L117" s="1017"/>
      <c r="M117" s="993"/>
      <c r="N117" s="993"/>
      <c r="O117" s="993"/>
      <c r="P117" s="993"/>
      <c r="Q117" s="993"/>
      <c r="V117" s="670"/>
      <c r="W117" s="670"/>
      <c r="X117" s="670"/>
      <c r="Y117" s="670"/>
      <c r="Z117" s="670"/>
    </row>
    <row r="118" spans="1:26" ht="15" customHeight="1" x14ac:dyDescent="0.25">
      <c r="A118" s="1008" t="s">
        <v>336</v>
      </c>
      <c r="B118" s="1009">
        <f>+MEDIAN(B97:B116)</f>
        <v>191</v>
      </c>
      <c r="C118" s="1009">
        <f t="shared" ref="C118:J118" si="11">+MEDIAN(C97:C116)</f>
        <v>2</v>
      </c>
      <c r="D118" s="1009">
        <f t="shared" si="11"/>
        <v>140.5</v>
      </c>
      <c r="E118" s="1009">
        <f t="shared" si="11"/>
        <v>48</v>
      </c>
      <c r="F118" s="1009">
        <f t="shared" si="11"/>
        <v>8.4107142857142847</v>
      </c>
      <c r="G118" s="1010">
        <f t="shared" si="11"/>
        <v>2.2305253623188408E-2</v>
      </c>
      <c r="H118" s="1010">
        <f t="shared" si="11"/>
        <v>0.16025641025641024</v>
      </c>
      <c r="I118" s="1009">
        <f t="shared" si="11"/>
        <v>2.4784798534798531</v>
      </c>
      <c r="J118" s="1011">
        <f t="shared" si="11"/>
        <v>2</v>
      </c>
      <c r="K118" s="993"/>
      <c r="L118" s="993"/>
      <c r="M118" s="993"/>
      <c r="N118" s="993"/>
      <c r="O118" s="993"/>
      <c r="P118" s="993"/>
      <c r="Q118" s="993"/>
      <c r="V118" s="670"/>
      <c r="W118" s="670"/>
      <c r="X118" s="670"/>
      <c r="Y118" s="670"/>
      <c r="Z118" s="670"/>
    </row>
    <row r="119" spans="1:26" ht="15" customHeight="1" thickBot="1" x14ac:dyDescent="0.3">
      <c r="A119" s="1020" t="s">
        <v>335</v>
      </c>
      <c r="B119" s="1021">
        <f>+AVERAGE(B97:B116)</f>
        <v>191.1</v>
      </c>
      <c r="C119" s="1021">
        <f t="shared" ref="C119:J119" si="12">+AVERAGE(C97:C116)</f>
        <v>10.3</v>
      </c>
      <c r="D119" s="1021">
        <f t="shared" si="12"/>
        <v>233.6</v>
      </c>
      <c r="E119" s="1021">
        <f t="shared" si="12"/>
        <v>106.15</v>
      </c>
      <c r="F119" s="1021">
        <f t="shared" si="12"/>
        <v>28.039285714285722</v>
      </c>
      <c r="G119" s="1022">
        <f t="shared" si="12"/>
        <v>5.3909724127954015E-2</v>
      </c>
      <c r="H119" s="1022">
        <f t="shared" si="12"/>
        <v>0.39287328344203148</v>
      </c>
      <c r="I119" s="1023">
        <f t="shared" si="12"/>
        <v>2.8965812077873028</v>
      </c>
      <c r="J119" s="1024">
        <f t="shared" si="12"/>
        <v>2.15</v>
      </c>
      <c r="K119" s="993"/>
      <c r="L119" s="993"/>
      <c r="M119" s="993"/>
      <c r="N119" s="993"/>
      <c r="O119" s="993"/>
      <c r="P119" s="993"/>
      <c r="Q119" s="993"/>
      <c r="V119" s="670"/>
      <c r="W119" s="670"/>
      <c r="X119" s="670"/>
      <c r="Y119" s="670"/>
      <c r="Z119" s="670"/>
    </row>
    <row r="120" spans="1:26" ht="15" customHeight="1" x14ac:dyDescent="0.25">
      <c r="A120" s="1025"/>
      <c r="B120" s="1009"/>
      <c r="C120" s="1009"/>
      <c r="D120" s="1009"/>
      <c r="E120" s="1009"/>
      <c r="F120" s="1009"/>
      <c r="G120" s="1010"/>
      <c r="H120" s="1010"/>
      <c r="I120" s="1012"/>
      <c r="J120" s="1009"/>
      <c r="K120" s="993"/>
      <c r="L120" s="993"/>
      <c r="M120" s="993"/>
      <c r="N120" s="993"/>
      <c r="O120" s="993"/>
      <c r="P120" s="993"/>
      <c r="Q120" s="993"/>
      <c r="V120" s="670"/>
      <c r="W120" s="670"/>
      <c r="X120" s="670"/>
      <c r="Y120" s="670"/>
      <c r="Z120" s="670"/>
    </row>
    <row r="121" spans="1:26" ht="15" customHeight="1" thickBot="1" x14ac:dyDescent="0.3">
      <c r="A121" s="671" t="s">
        <v>1086</v>
      </c>
      <c r="B121" s="1017"/>
      <c r="C121" s="1017"/>
      <c r="D121" s="1017"/>
      <c r="E121" s="1017"/>
      <c r="F121" s="1017"/>
      <c r="G121" s="1017"/>
      <c r="H121" s="1017"/>
      <c r="I121" s="1017"/>
      <c r="J121" s="1017"/>
      <c r="K121" s="1017"/>
      <c r="L121" s="1017"/>
      <c r="M121" s="993"/>
      <c r="N121" s="993"/>
      <c r="O121" s="993"/>
      <c r="P121" s="993"/>
      <c r="Q121" s="993"/>
      <c r="V121" s="670"/>
      <c r="W121" s="670"/>
      <c r="X121" s="670"/>
      <c r="Y121" s="670"/>
      <c r="Z121" s="670"/>
    </row>
    <row r="122" spans="1:26" ht="15" customHeight="1" x14ac:dyDescent="0.25">
      <c r="A122" s="994" t="s">
        <v>1053</v>
      </c>
      <c r="B122" s="995" t="s">
        <v>147</v>
      </c>
      <c r="C122" s="995" t="s">
        <v>290</v>
      </c>
      <c r="D122" s="995" t="s">
        <v>1054</v>
      </c>
      <c r="E122" s="995" t="s">
        <v>1055</v>
      </c>
      <c r="F122" s="995" t="s">
        <v>80</v>
      </c>
      <c r="G122" s="995" t="s">
        <v>1056</v>
      </c>
      <c r="H122" s="995" t="s">
        <v>1057</v>
      </c>
      <c r="I122" s="996" t="s">
        <v>1058</v>
      </c>
      <c r="J122" s="997" t="s">
        <v>1059</v>
      </c>
      <c r="K122" s="993"/>
      <c r="L122" s="993"/>
      <c r="M122" s="993"/>
      <c r="N122" s="993"/>
      <c r="O122" s="993"/>
      <c r="P122" s="993"/>
      <c r="Q122" s="993"/>
      <c r="V122" s="670"/>
      <c r="W122" s="670"/>
      <c r="X122" s="670"/>
      <c r="Y122" s="670"/>
      <c r="Z122" s="670"/>
    </row>
    <row r="123" spans="1:26" ht="15" customHeight="1" x14ac:dyDescent="0.25">
      <c r="A123" s="998"/>
      <c r="B123" s="999" t="s">
        <v>1060</v>
      </c>
      <c r="C123" s="999" t="s">
        <v>1060</v>
      </c>
      <c r="D123" s="999" t="s">
        <v>1060</v>
      </c>
      <c r="E123" s="999" t="s">
        <v>1060</v>
      </c>
      <c r="F123" s="999" t="s">
        <v>1060</v>
      </c>
      <c r="G123" s="1000" t="s">
        <v>144</v>
      </c>
      <c r="H123" s="1000" t="s">
        <v>144</v>
      </c>
      <c r="I123" s="1000"/>
      <c r="J123" s="1001"/>
      <c r="K123" s="993"/>
      <c r="L123" s="993"/>
      <c r="M123" s="993"/>
      <c r="N123" s="993"/>
      <c r="O123" s="993"/>
      <c r="P123" s="993"/>
      <c r="Q123" s="993"/>
      <c r="V123" s="670"/>
      <c r="W123" s="670"/>
      <c r="X123" s="670"/>
      <c r="Y123" s="670"/>
      <c r="Z123" s="670"/>
    </row>
    <row r="124" spans="1:26" ht="15" customHeight="1" x14ac:dyDescent="0.25">
      <c r="A124" s="1002" t="s">
        <v>1061</v>
      </c>
      <c r="B124" s="1003">
        <v>136</v>
      </c>
      <c r="C124" s="1003">
        <v>-47</v>
      </c>
      <c r="D124" s="1003">
        <v>100</v>
      </c>
      <c r="E124" s="1003">
        <v>-33</v>
      </c>
      <c r="F124" s="1003">
        <f t="shared" ref="F124:F143" si="13">+C124/0.8+E124/7</f>
        <v>-63.464285714285715</v>
      </c>
      <c r="G124" s="1004">
        <f t="shared" ref="G124:G143" si="14">+C124/D124</f>
        <v>-0.47</v>
      </c>
      <c r="H124" s="1004">
        <f t="shared" ref="H124:H143" si="15">+C124/E124</f>
        <v>1.4242424242424243</v>
      </c>
      <c r="I124" s="1005">
        <f t="shared" ref="I124:I143" si="16">+(D124-E124)/E124</f>
        <v>-4.0303030303030303</v>
      </c>
      <c r="J124" s="1006">
        <v>2</v>
      </c>
      <c r="K124" s="1017"/>
      <c r="L124" s="1017"/>
      <c r="M124" s="993"/>
      <c r="N124" s="993"/>
      <c r="O124" s="993"/>
      <c r="P124" s="993"/>
      <c r="Q124" s="993"/>
      <c r="V124" s="670"/>
      <c r="W124" s="670"/>
      <c r="X124" s="670"/>
    </row>
    <row r="125" spans="1:26" ht="15" customHeight="1" x14ac:dyDescent="0.25">
      <c r="A125" s="1002" t="s">
        <v>1062</v>
      </c>
      <c r="B125" s="1003">
        <v>273</v>
      </c>
      <c r="C125" s="1003">
        <v>53</v>
      </c>
      <c r="D125" s="1003">
        <v>85</v>
      </c>
      <c r="E125" s="1003">
        <v>32</v>
      </c>
      <c r="F125" s="1003">
        <f t="shared" si="13"/>
        <v>70.821428571428569</v>
      </c>
      <c r="G125" s="1004">
        <f t="shared" si="14"/>
        <v>0.62352941176470589</v>
      </c>
      <c r="H125" s="1004">
        <f t="shared" si="15"/>
        <v>1.65625</v>
      </c>
      <c r="I125" s="1005">
        <f t="shared" si="16"/>
        <v>1.65625</v>
      </c>
      <c r="J125" s="1006">
        <v>3</v>
      </c>
      <c r="K125" s="1017"/>
      <c r="L125" s="1017"/>
      <c r="M125" s="993"/>
      <c r="N125" s="993"/>
      <c r="O125" s="993"/>
      <c r="P125" s="993"/>
      <c r="Q125" s="993"/>
      <c r="V125" s="670"/>
      <c r="W125" s="670"/>
      <c r="X125" s="670"/>
    </row>
    <row r="126" spans="1:26" ht="15" customHeight="1" x14ac:dyDescent="0.25">
      <c r="A126" s="1002" t="s">
        <v>1063</v>
      </c>
      <c r="B126" s="1003">
        <v>332</v>
      </c>
      <c r="C126" s="1003">
        <v>12</v>
      </c>
      <c r="D126" s="1003">
        <v>73</v>
      </c>
      <c r="E126" s="1003">
        <v>11</v>
      </c>
      <c r="F126" s="1003">
        <f t="shared" si="13"/>
        <v>16.571428571428573</v>
      </c>
      <c r="G126" s="1004">
        <f t="shared" si="14"/>
        <v>0.16438356164383561</v>
      </c>
      <c r="H126" s="1004">
        <f t="shared" si="15"/>
        <v>1.0909090909090908</v>
      </c>
      <c r="I126" s="1005">
        <f t="shared" si="16"/>
        <v>5.6363636363636367</v>
      </c>
      <c r="J126" s="1006">
        <v>3</v>
      </c>
      <c r="K126" s="1017"/>
      <c r="L126" s="1017"/>
      <c r="M126" s="993"/>
      <c r="N126" s="993"/>
      <c r="O126" s="993"/>
      <c r="P126" s="993"/>
      <c r="Q126" s="993"/>
      <c r="V126" s="670"/>
      <c r="W126" s="670"/>
      <c r="X126" s="670"/>
    </row>
    <row r="127" spans="1:26" ht="15" customHeight="1" x14ac:dyDescent="0.25">
      <c r="A127" s="1002" t="s">
        <v>1064</v>
      </c>
      <c r="B127" s="1003">
        <v>505</v>
      </c>
      <c r="C127" s="1003">
        <v>325</v>
      </c>
      <c r="D127" s="1003">
        <v>720</v>
      </c>
      <c r="E127" s="1003">
        <v>467</v>
      </c>
      <c r="F127" s="1003">
        <f t="shared" si="13"/>
        <v>472.96428571428572</v>
      </c>
      <c r="G127" s="1004">
        <f t="shared" si="14"/>
        <v>0.4513888888888889</v>
      </c>
      <c r="H127" s="1004">
        <f t="shared" si="15"/>
        <v>0.69593147751605999</v>
      </c>
      <c r="I127" s="1005">
        <f t="shared" si="16"/>
        <v>0.54175588865096358</v>
      </c>
      <c r="J127" s="1006">
        <v>1</v>
      </c>
      <c r="K127" s="1017"/>
      <c r="L127" s="1017"/>
      <c r="M127" s="993"/>
      <c r="N127" s="993"/>
      <c r="O127" s="993"/>
      <c r="P127" s="993"/>
      <c r="Q127" s="993"/>
      <c r="V127" s="670"/>
      <c r="W127" s="670"/>
      <c r="X127" s="670"/>
    </row>
    <row r="128" spans="1:26" ht="15" customHeight="1" x14ac:dyDescent="0.25">
      <c r="A128" s="1002" t="s">
        <v>1065</v>
      </c>
      <c r="B128" s="1003">
        <v>248</v>
      </c>
      <c r="C128" s="1003">
        <v>8</v>
      </c>
      <c r="D128" s="1003">
        <v>194</v>
      </c>
      <c r="E128" s="1003">
        <v>28</v>
      </c>
      <c r="F128" s="1003">
        <f t="shared" si="13"/>
        <v>14</v>
      </c>
      <c r="G128" s="1004">
        <f t="shared" si="14"/>
        <v>4.1237113402061855E-2</v>
      </c>
      <c r="H128" s="1004">
        <f t="shared" si="15"/>
        <v>0.2857142857142857</v>
      </c>
      <c r="I128" s="1005">
        <f t="shared" si="16"/>
        <v>5.9285714285714288</v>
      </c>
      <c r="J128" s="1006">
        <v>1</v>
      </c>
      <c r="K128" s="1017"/>
      <c r="L128" s="1017"/>
      <c r="M128" s="993"/>
      <c r="N128" s="993"/>
      <c r="O128" s="993"/>
      <c r="P128" s="993"/>
      <c r="Q128" s="993"/>
      <c r="V128" s="670"/>
      <c r="W128" s="670"/>
      <c r="X128" s="670"/>
    </row>
    <row r="129" spans="1:24" ht="15" customHeight="1" x14ac:dyDescent="0.25">
      <c r="A129" s="1002" t="s">
        <v>1066</v>
      </c>
      <c r="B129" s="1003">
        <v>405</v>
      </c>
      <c r="C129" s="1003">
        <v>78</v>
      </c>
      <c r="D129" s="1003">
        <v>541</v>
      </c>
      <c r="E129" s="1003">
        <v>133</v>
      </c>
      <c r="F129" s="1003">
        <f t="shared" si="13"/>
        <v>116.5</v>
      </c>
      <c r="G129" s="1004">
        <f t="shared" si="14"/>
        <v>0.14417744916820702</v>
      </c>
      <c r="H129" s="1004">
        <f t="shared" si="15"/>
        <v>0.5864661654135338</v>
      </c>
      <c r="I129" s="1005">
        <f t="shared" si="16"/>
        <v>3.0676691729323307</v>
      </c>
      <c r="J129" s="1006">
        <v>2</v>
      </c>
      <c r="K129" s="1017"/>
      <c r="L129" s="1017"/>
      <c r="M129" s="993"/>
      <c r="N129" s="993"/>
      <c r="O129" s="993"/>
      <c r="P129" s="993"/>
      <c r="Q129" s="993"/>
      <c r="V129" s="670"/>
      <c r="W129" s="670"/>
      <c r="X129" s="670"/>
    </row>
    <row r="130" spans="1:24" ht="15" customHeight="1" x14ac:dyDescent="0.25">
      <c r="A130" s="1002" t="s">
        <v>1067</v>
      </c>
      <c r="B130" s="1003">
        <v>246</v>
      </c>
      <c r="C130" s="1003">
        <v>-26</v>
      </c>
      <c r="D130" s="1003">
        <v>138</v>
      </c>
      <c r="E130" s="1003">
        <v>51</v>
      </c>
      <c r="F130" s="1003">
        <f t="shared" si="13"/>
        <v>-25.214285714285715</v>
      </c>
      <c r="G130" s="1004">
        <f t="shared" si="14"/>
        <v>-0.18840579710144928</v>
      </c>
      <c r="H130" s="1004">
        <f t="shared" si="15"/>
        <v>-0.50980392156862742</v>
      </c>
      <c r="I130" s="1005">
        <f t="shared" si="16"/>
        <v>1.7058823529411764</v>
      </c>
      <c r="J130" s="1006">
        <v>3</v>
      </c>
      <c r="K130" s="1017"/>
      <c r="L130" s="1017"/>
      <c r="M130" s="993"/>
      <c r="N130" s="993"/>
      <c r="O130" s="993"/>
      <c r="P130" s="993"/>
      <c r="Q130" s="993"/>
      <c r="V130" s="670"/>
      <c r="W130" s="670"/>
      <c r="X130" s="670"/>
    </row>
    <row r="131" spans="1:24" ht="15" customHeight="1" x14ac:dyDescent="0.25">
      <c r="A131" s="1002" t="s">
        <v>1068</v>
      </c>
      <c r="B131" s="1003">
        <v>129</v>
      </c>
      <c r="C131" s="1003">
        <v>16</v>
      </c>
      <c r="D131" s="1003">
        <v>395</v>
      </c>
      <c r="E131" s="1003">
        <v>139</v>
      </c>
      <c r="F131" s="1003">
        <f t="shared" si="13"/>
        <v>39.857142857142861</v>
      </c>
      <c r="G131" s="1004">
        <f t="shared" si="14"/>
        <v>4.0506329113924051E-2</v>
      </c>
      <c r="H131" s="1004">
        <f t="shared" si="15"/>
        <v>0.11510791366906475</v>
      </c>
      <c r="I131" s="1005">
        <f t="shared" si="16"/>
        <v>1.8417266187050361</v>
      </c>
      <c r="J131" s="1006">
        <v>2</v>
      </c>
      <c r="K131" s="1017"/>
      <c r="L131" s="1017"/>
      <c r="M131" s="993"/>
      <c r="N131" s="993"/>
      <c r="O131" s="993"/>
      <c r="P131" s="993"/>
      <c r="Q131" s="993"/>
      <c r="V131" s="670"/>
      <c r="W131" s="670"/>
      <c r="X131" s="670"/>
    </row>
    <row r="132" spans="1:24" ht="15" customHeight="1" x14ac:dyDescent="0.25">
      <c r="A132" s="1002" t="s">
        <v>1069</v>
      </c>
      <c r="B132" s="1003">
        <v>213</v>
      </c>
      <c r="C132" s="1003">
        <v>-5</v>
      </c>
      <c r="D132" s="1003">
        <v>224</v>
      </c>
      <c r="E132" s="1003">
        <v>42</v>
      </c>
      <c r="F132" s="1003">
        <f t="shared" si="13"/>
        <v>-0.25</v>
      </c>
      <c r="G132" s="1004">
        <f t="shared" si="14"/>
        <v>-2.2321428571428572E-2</v>
      </c>
      <c r="H132" s="1004">
        <f t="shared" si="15"/>
        <v>-0.11904761904761904</v>
      </c>
      <c r="I132" s="1005">
        <f t="shared" si="16"/>
        <v>4.333333333333333</v>
      </c>
      <c r="J132" s="1006">
        <v>3</v>
      </c>
      <c r="K132" s="1017"/>
      <c r="L132" s="1017"/>
      <c r="M132" s="993"/>
      <c r="N132" s="993"/>
      <c r="O132" s="993"/>
      <c r="P132" s="993"/>
      <c r="Q132" s="993"/>
      <c r="V132" s="670"/>
      <c r="W132" s="670"/>
      <c r="X132" s="670"/>
    </row>
    <row r="133" spans="1:24" ht="15" customHeight="1" x14ac:dyDescent="0.25">
      <c r="A133" s="1002" t="s">
        <v>1070</v>
      </c>
      <c r="B133" s="1003">
        <v>209</v>
      </c>
      <c r="C133" s="1003">
        <v>-1</v>
      </c>
      <c r="D133" s="1003">
        <v>438</v>
      </c>
      <c r="E133" s="1003">
        <v>177</v>
      </c>
      <c r="F133" s="1003">
        <f t="shared" si="13"/>
        <v>24.035714285714285</v>
      </c>
      <c r="G133" s="1004">
        <f t="shared" si="14"/>
        <v>-2.2831050228310501E-3</v>
      </c>
      <c r="H133" s="1004">
        <f t="shared" si="15"/>
        <v>-5.6497175141242938E-3</v>
      </c>
      <c r="I133" s="1005">
        <f t="shared" si="16"/>
        <v>1.4745762711864407</v>
      </c>
      <c r="J133" s="1006">
        <v>3</v>
      </c>
      <c r="K133" s="1017"/>
      <c r="L133" s="1017"/>
      <c r="M133" s="993"/>
      <c r="N133" s="993"/>
      <c r="O133" s="993"/>
      <c r="P133" s="993"/>
      <c r="Q133" s="993"/>
      <c r="V133" s="670"/>
      <c r="W133" s="670"/>
      <c r="X133" s="670"/>
    </row>
    <row r="134" spans="1:24" ht="15" customHeight="1" x14ac:dyDescent="0.25">
      <c r="A134" s="1002" t="s">
        <v>1071</v>
      </c>
      <c r="B134" s="1003">
        <v>293</v>
      </c>
      <c r="C134" s="1003">
        <v>2</v>
      </c>
      <c r="D134" s="1003">
        <v>758</v>
      </c>
      <c r="E134" s="1003">
        <v>680</v>
      </c>
      <c r="F134" s="1003">
        <f t="shared" si="13"/>
        <v>99.642857142857139</v>
      </c>
      <c r="G134" s="1004">
        <f t="shared" si="14"/>
        <v>2.6385224274406332E-3</v>
      </c>
      <c r="H134" s="1004">
        <f t="shared" si="15"/>
        <v>2.9411764705882353E-3</v>
      </c>
      <c r="I134" s="1005">
        <f t="shared" si="16"/>
        <v>0.11470588235294117</v>
      </c>
      <c r="J134" s="1006">
        <v>2</v>
      </c>
      <c r="K134" s="1017"/>
      <c r="L134" s="1017"/>
      <c r="M134" s="993"/>
      <c r="N134" s="993"/>
      <c r="O134" s="993"/>
      <c r="P134" s="993"/>
      <c r="Q134" s="993"/>
      <c r="V134" s="670"/>
      <c r="W134" s="670"/>
      <c r="X134" s="670"/>
    </row>
    <row r="135" spans="1:24" ht="15" customHeight="1" x14ac:dyDescent="0.25">
      <c r="A135" s="1002" t="s">
        <v>1072</v>
      </c>
      <c r="B135" s="1003">
        <v>221</v>
      </c>
      <c r="C135" s="1003">
        <v>8</v>
      </c>
      <c r="D135" s="1003">
        <v>235</v>
      </c>
      <c r="E135" s="1003">
        <v>39</v>
      </c>
      <c r="F135" s="1003">
        <f t="shared" si="13"/>
        <v>15.571428571428571</v>
      </c>
      <c r="G135" s="1004">
        <f t="shared" si="14"/>
        <v>3.4042553191489362E-2</v>
      </c>
      <c r="H135" s="1004">
        <f t="shared" si="15"/>
        <v>0.20512820512820512</v>
      </c>
      <c r="I135" s="1005">
        <f t="shared" si="16"/>
        <v>5.0256410256410255</v>
      </c>
      <c r="J135" s="1006">
        <v>1</v>
      </c>
      <c r="K135" s="1017"/>
      <c r="L135" s="1017"/>
      <c r="M135" s="993"/>
      <c r="N135" s="993"/>
      <c r="O135" s="993"/>
      <c r="P135" s="993"/>
      <c r="Q135" s="993"/>
      <c r="V135" s="670"/>
      <c r="W135" s="670"/>
      <c r="X135" s="670"/>
    </row>
    <row r="136" spans="1:24" ht="15" customHeight="1" x14ac:dyDescent="0.25">
      <c r="A136" s="1002" t="s">
        <v>1073</v>
      </c>
      <c r="B136" s="1003">
        <v>91</v>
      </c>
      <c r="C136" s="1003">
        <v>-15</v>
      </c>
      <c r="D136" s="1003">
        <v>51</v>
      </c>
      <c r="E136" s="1003">
        <v>3</v>
      </c>
      <c r="F136" s="1003">
        <f t="shared" si="13"/>
        <v>-18.321428571428573</v>
      </c>
      <c r="G136" s="1004">
        <f t="shared" si="14"/>
        <v>-0.29411764705882354</v>
      </c>
      <c r="H136" s="1004">
        <f t="shared" si="15"/>
        <v>-5</v>
      </c>
      <c r="I136" s="1005">
        <f t="shared" si="16"/>
        <v>16</v>
      </c>
      <c r="J136" s="1006">
        <v>4</v>
      </c>
      <c r="K136" s="1017"/>
      <c r="L136" s="1017"/>
      <c r="M136" s="993"/>
      <c r="N136" s="993"/>
      <c r="O136" s="993"/>
      <c r="P136" s="993"/>
      <c r="Q136" s="993"/>
      <c r="V136" s="670"/>
      <c r="W136" s="670"/>
      <c r="X136" s="670"/>
    </row>
    <row r="137" spans="1:24" ht="15" customHeight="1" x14ac:dyDescent="0.25">
      <c r="A137" s="1002" t="s">
        <v>1074</v>
      </c>
      <c r="B137" s="1026" t="s">
        <v>1081</v>
      </c>
      <c r="C137" s="1026" t="s">
        <v>1081</v>
      </c>
      <c r="D137" s="1026" t="s">
        <v>1081</v>
      </c>
      <c r="E137" s="1026" t="s">
        <v>1081</v>
      </c>
      <c r="F137" s="1003"/>
      <c r="G137" s="1004"/>
      <c r="H137" s="1004"/>
      <c r="I137" s="1005"/>
      <c r="J137" s="1027"/>
      <c r="K137" s="1017"/>
      <c r="L137" s="1017"/>
      <c r="M137" s="993"/>
      <c r="N137" s="993"/>
      <c r="O137" s="993"/>
      <c r="P137" s="993"/>
      <c r="Q137" s="993"/>
      <c r="V137" s="670"/>
      <c r="W137" s="670"/>
      <c r="X137" s="670"/>
    </row>
    <row r="138" spans="1:24" ht="15" customHeight="1" x14ac:dyDescent="0.25">
      <c r="A138" s="1002" t="s">
        <v>1075</v>
      </c>
      <c r="B138" s="1003">
        <v>121</v>
      </c>
      <c r="C138" s="1003">
        <v>1</v>
      </c>
      <c r="D138" s="1003">
        <v>85</v>
      </c>
      <c r="E138" s="1003">
        <v>8</v>
      </c>
      <c r="F138" s="1003">
        <f t="shared" si="13"/>
        <v>2.3928571428571428</v>
      </c>
      <c r="G138" s="1004">
        <f t="shared" si="14"/>
        <v>1.1764705882352941E-2</v>
      </c>
      <c r="H138" s="1004">
        <f t="shared" si="15"/>
        <v>0.125</v>
      </c>
      <c r="I138" s="1005">
        <f t="shared" si="16"/>
        <v>9.625</v>
      </c>
      <c r="J138" s="1006">
        <v>2</v>
      </c>
      <c r="K138" s="1017"/>
      <c r="L138" s="1017"/>
      <c r="M138" s="993"/>
      <c r="N138" s="993"/>
      <c r="O138" s="993"/>
      <c r="P138" s="993"/>
      <c r="Q138" s="993"/>
      <c r="V138" s="670"/>
      <c r="W138" s="670"/>
      <c r="X138" s="670"/>
    </row>
    <row r="139" spans="1:24" ht="15" customHeight="1" x14ac:dyDescent="0.25">
      <c r="A139" s="1002" t="s">
        <v>1076</v>
      </c>
      <c r="B139" s="1003">
        <v>99</v>
      </c>
      <c r="C139" s="1003">
        <v>-1</v>
      </c>
      <c r="D139" s="1003">
        <v>49</v>
      </c>
      <c r="E139" s="1003">
        <v>3</v>
      </c>
      <c r="F139" s="1003">
        <f t="shared" si="13"/>
        <v>-0.8214285714285714</v>
      </c>
      <c r="G139" s="1004">
        <f t="shared" si="14"/>
        <v>-2.0408163265306121E-2</v>
      </c>
      <c r="H139" s="1004">
        <f t="shared" si="15"/>
        <v>-0.33333333333333331</v>
      </c>
      <c r="I139" s="1005">
        <f t="shared" si="16"/>
        <v>15.333333333333334</v>
      </c>
      <c r="J139" s="1006">
        <v>2</v>
      </c>
      <c r="K139" s="1017"/>
      <c r="L139" s="1017"/>
      <c r="M139" s="993"/>
      <c r="N139" s="993"/>
      <c r="O139" s="993"/>
      <c r="P139" s="993"/>
      <c r="Q139" s="993"/>
      <c r="V139" s="670"/>
      <c r="W139" s="670"/>
      <c r="X139" s="670"/>
    </row>
    <row r="140" spans="1:24" ht="15" customHeight="1" x14ac:dyDescent="0.25">
      <c r="A140" s="1002" t="s">
        <v>1077</v>
      </c>
      <c r="B140" s="1003">
        <v>111</v>
      </c>
      <c r="C140" s="1003">
        <v>4</v>
      </c>
      <c r="D140" s="1003">
        <v>97</v>
      </c>
      <c r="E140" s="1003">
        <v>11</v>
      </c>
      <c r="F140" s="1003">
        <f t="shared" si="13"/>
        <v>6.5714285714285712</v>
      </c>
      <c r="G140" s="1004">
        <f t="shared" si="14"/>
        <v>4.1237113402061855E-2</v>
      </c>
      <c r="H140" s="1004">
        <f t="shared" si="15"/>
        <v>0.36363636363636365</v>
      </c>
      <c r="I140" s="1005">
        <f t="shared" si="16"/>
        <v>7.8181818181818183</v>
      </c>
      <c r="J140" s="1027"/>
      <c r="K140" s="1017"/>
      <c r="L140" s="1017"/>
      <c r="M140" s="993"/>
      <c r="N140" s="993"/>
      <c r="O140" s="993"/>
      <c r="P140" s="993"/>
      <c r="Q140" s="993"/>
      <c r="V140" s="670"/>
      <c r="W140" s="670"/>
      <c r="X140" s="670"/>
    </row>
    <row r="141" spans="1:24" ht="15" customHeight="1" x14ac:dyDescent="0.25">
      <c r="A141" s="1002" t="s">
        <v>1078</v>
      </c>
      <c r="B141" s="1003">
        <v>67</v>
      </c>
      <c r="C141" s="1003">
        <v>-1</v>
      </c>
      <c r="D141" s="1003">
        <v>79</v>
      </c>
      <c r="E141" s="1003">
        <v>13</v>
      </c>
      <c r="F141" s="1003">
        <f t="shared" si="13"/>
        <v>0.60714285714285721</v>
      </c>
      <c r="G141" s="1004">
        <f t="shared" si="14"/>
        <v>-1.2658227848101266E-2</v>
      </c>
      <c r="H141" s="1004">
        <f t="shared" si="15"/>
        <v>-7.6923076923076927E-2</v>
      </c>
      <c r="I141" s="1005">
        <f t="shared" si="16"/>
        <v>5.0769230769230766</v>
      </c>
      <c r="J141" s="1006">
        <v>2</v>
      </c>
      <c r="K141" s="1017"/>
      <c r="L141" s="1017"/>
      <c r="M141" s="993"/>
      <c r="N141" s="993"/>
      <c r="O141" s="993"/>
      <c r="P141" s="993"/>
      <c r="Q141" s="993"/>
      <c r="V141" s="670"/>
      <c r="W141" s="670"/>
      <c r="X141" s="670"/>
    </row>
    <row r="142" spans="1:24" ht="15" customHeight="1" x14ac:dyDescent="0.25">
      <c r="A142" s="1002" t="s">
        <v>1079</v>
      </c>
      <c r="B142" s="1026" t="s">
        <v>1081</v>
      </c>
      <c r="C142" s="1026" t="s">
        <v>1081</v>
      </c>
      <c r="D142" s="1026" t="s">
        <v>1081</v>
      </c>
      <c r="E142" s="1026" t="s">
        <v>1081</v>
      </c>
      <c r="F142" s="1003"/>
      <c r="G142" s="1004"/>
      <c r="H142" s="1004"/>
      <c r="I142" s="1005"/>
      <c r="J142" s="1027"/>
      <c r="K142" s="1017"/>
      <c r="L142" s="1017"/>
      <c r="M142" s="993"/>
      <c r="N142" s="993"/>
      <c r="O142" s="993"/>
      <c r="P142" s="993"/>
      <c r="Q142" s="993"/>
      <c r="V142" s="670"/>
      <c r="W142" s="670"/>
      <c r="X142" s="670"/>
    </row>
    <row r="143" spans="1:24" ht="15" customHeight="1" x14ac:dyDescent="0.25">
      <c r="A143" s="1002" t="s">
        <v>1080</v>
      </c>
      <c r="B143" s="1003">
        <v>79</v>
      </c>
      <c r="C143" s="1003">
        <v>-5</v>
      </c>
      <c r="D143" s="1003">
        <v>17</v>
      </c>
      <c r="E143" s="1003">
        <v>-17</v>
      </c>
      <c r="F143" s="1003">
        <f t="shared" si="13"/>
        <v>-8.6785714285714288</v>
      </c>
      <c r="G143" s="1004">
        <f t="shared" si="14"/>
        <v>-0.29411764705882354</v>
      </c>
      <c r="H143" s="1004">
        <f t="shared" si="15"/>
        <v>0.29411764705882354</v>
      </c>
      <c r="I143" s="1005">
        <f t="shared" si="16"/>
        <v>-2</v>
      </c>
      <c r="J143" s="1006">
        <v>2</v>
      </c>
      <c r="K143" s="1017"/>
      <c r="L143" s="1017"/>
      <c r="M143" s="993"/>
      <c r="N143" s="993"/>
      <c r="O143" s="993"/>
      <c r="P143" s="993"/>
      <c r="Q143" s="993"/>
      <c r="V143" s="670"/>
      <c r="W143" s="670"/>
      <c r="X143" s="670"/>
    </row>
    <row r="144" spans="1:24" ht="15" customHeight="1" x14ac:dyDescent="0.25">
      <c r="A144" s="749"/>
      <c r="B144" s="1018"/>
      <c r="C144" s="1018"/>
      <c r="D144" s="1018"/>
      <c r="E144" s="1018"/>
      <c r="F144" s="1018"/>
      <c r="G144" s="1018"/>
      <c r="H144" s="1018"/>
      <c r="I144" s="1018"/>
      <c r="J144" s="1019"/>
      <c r="K144" s="1017"/>
      <c r="L144" s="1017"/>
      <c r="M144" s="993"/>
      <c r="N144" s="993"/>
      <c r="O144" s="993"/>
      <c r="P144" s="993"/>
      <c r="Q144" s="993"/>
      <c r="V144" s="670"/>
      <c r="W144" s="670"/>
      <c r="X144" s="670"/>
    </row>
    <row r="145" spans="1:26" ht="15" customHeight="1" x14ac:dyDescent="0.25">
      <c r="A145" s="1008" t="s">
        <v>336</v>
      </c>
      <c r="B145" s="1009">
        <f>+MEDIAN(B124:B143)</f>
        <v>211</v>
      </c>
      <c r="C145" s="1009">
        <f t="shared" ref="C145:J145" si="17">+MEDIAN(C124:C143)</f>
        <v>1.5</v>
      </c>
      <c r="D145" s="1009">
        <f t="shared" si="17"/>
        <v>119</v>
      </c>
      <c r="E145" s="1009">
        <f t="shared" si="17"/>
        <v>30</v>
      </c>
      <c r="F145" s="1009">
        <f t="shared" si="17"/>
        <v>10.285714285714285</v>
      </c>
      <c r="G145" s="1010">
        <f t="shared" si="17"/>
        <v>7.2016141548967875E-3</v>
      </c>
      <c r="H145" s="1010">
        <f t="shared" si="17"/>
        <v>0.16506410256410256</v>
      </c>
      <c r="I145" s="1009">
        <f>+MEDIAN(I124:I143)</f>
        <v>3.7005012531328321</v>
      </c>
      <c r="J145" s="1011">
        <f t="shared" si="17"/>
        <v>2</v>
      </c>
      <c r="K145" s="993"/>
      <c r="L145" s="993"/>
      <c r="M145" s="993"/>
      <c r="N145" s="993"/>
      <c r="O145" s="993"/>
      <c r="P145" s="993"/>
      <c r="Q145" s="993"/>
      <c r="V145" s="670"/>
      <c r="W145" s="670"/>
      <c r="X145" s="670"/>
      <c r="Y145" s="670"/>
      <c r="Z145" s="670"/>
    </row>
    <row r="146" spans="1:26" ht="15" customHeight="1" thickBot="1" x14ac:dyDescent="0.3">
      <c r="A146" s="1020" t="s">
        <v>335</v>
      </c>
      <c r="B146" s="1021">
        <f>+AVERAGE(B124:B143)</f>
        <v>209.88888888888889</v>
      </c>
      <c r="C146" s="1021">
        <f t="shared" ref="C146:J146" si="18">+AVERAGE(C124:C143)</f>
        <v>22.555555555555557</v>
      </c>
      <c r="D146" s="1021">
        <f t="shared" si="18"/>
        <v>237.72222222222223</v>
      </c>
      <c r="E146" s="1021">
        <f t="shared" si="18"/>
        <v>99.277777777777771</v>
      </c>
      <c r="F146" s="1021">
        <f t="shared" si="18"/>
        <v>42.376984126984127</v>
      </c>
      <c r="G146" s="1022">
        <f t="shared" si="18"/>
        <v>1.3921868497678035E-2</v>
      </c>
      <c r="H146" s="1022">
        <f t="shared" si="18"/>
        <v>4.4482615631758912E-2</v>
      </c>
      <c r="I146" s="1021">
        <f>+AVERAGE(I124:I143)</f>
        <v>4.3972006004896391</v>
      </c>
      <c r="J146" s="1024">
        <f t="shared" si="18"/>
        <v>2.2352941176470589</v>
      </c>
      <c r="K146" s="993"/>
      <c r="L146" s="993"/>
      <c r="M146" s="993"/>
      <c r="N146" s="993"/>
      <c r="O146" s="993"/>
      <c r="P146" s="993"/>
      <c r="Q146" s="993"/>
      <c r="V146" s="670"/>
      <c r="W146" s="670"/>
      <c r="X146" s="670"/>
      <c r="Y146" s="670"/>
      <c r="Z146" s="670"/>
    </row>
    <row r="147" spans="1:26" ht="15" customHeight="1" x14ac:dyDescent="0.25">
      <c r="A147" s="321"/>
      <c r="B147" s="1017"/>
      <c r="C147" s="1017"/>
      <c r="D147" s="1017"/>
      <c r="E147" s="1017"/>
      <c r="F147" s="1017"/>
      <c r="G147" s="1017"/>
      <c r="H147" s="1017"/>
      <c r="I147" s="1017"/>
      <c r="J147" s="1017"/>
      <c r="K147" s="1017"/>
      <c r="L147" s="1017"/>
      <c r="M147" s="993"/>
      <c r="N147" s="993"/>
      <c r="O147" s="993"/>
      <c r="P147" s="993"/>
      <c r="Q147" s="993"/>
      <c r="V147" s="670"/>
      <c r="W147" s="670"/>
      <c r="X147" s="670"/>
    </row>
    <row r="148" spans="1:26" ht="15" customHeight="1" thickBot="1" x14ac:dyDescent="0.3">
      <c r="A148" s="671" t="s">
        <v>1087</v>
      </c>
      <c r="B148" s="1017"/>
      <c r="C148" s="1017"/>
      <c r="D148" s="1017"/>
      <c r="E148" s="1017"/>
      <c r="F148" s="1017"/>
      <c r="G148" s="1017"/>
      <c r="H148" s="1017"/>
      <c r="I148" s="1017"/>
      <c r="J148" s="1017"/>
      <c r="K148" s="1017"/>
      <c r="L148" s="1017"/>
      <c r="M148" s="993"/>
      <c r="N148" s="993"/>
      <c r="O148" s="993"/>
      <c r="P148" s="993"/>
      <c r="Q148" s="993"/>
      <c r="V148" s="670"/>
      <c r="W148" s="670"/>
      <c r="X148" s="670"/>
    </row>
    <row r="149" spans="1:26" ht="15" customHeight="1" x14ac:dyDescent="0.25">
      <c r="A149" s="994" t="s">
        <v>1053</v>
      </c>
      <c r="B149" s="995" t="s">
        <v>147</v>
      </c>
      <c r="C149" s="995" t="s">
        <v>290</v>
      </c>
      <c r="D149" s="995" t="s">
        <v>1054</v>
      </c>
      <c r="E149" s="995" t="s">
        <v>1055</v>
      </c>
      <c r="F149" s="995" t="s">
        <v>80</v>
      </c>
      <c r="G149" s="995" t="s">
        <v>1056</v>
      </c>
      <c r="H149" s="995" t="s">
        <v>1057</v>
      </c>
      <c r="I149" s="996" t="s">
        <v>1058</v>
      </c>
      <c r="J149" s="997" t="s">
        <v>1059</v>
      </c>
      <c r="K149" s="993"/>
      <c r="L149" s="993"/>
      <c r="M149" s="993"/>
      <c r="N149" s="993"/>
      <c r="O149" s="993"/>
      <c r="P149" s="993"/>
      <c r="Q149" s="993"/>
      <c r="V149" s="670"/>
      <c r="W149" s="670"/>
      <c r="X149" s="670"/>
      <c r="Y149" s="670"/>
      <c r="Z149" s="670"/>
    </row>
    <row r="150" spans="1:26" ht="15" customHeight="1" x14ac:dyDescent="0.25">
      <c r="A150" s="998"/>
      <c r="B150" s="999" t="s">
        <v>1060</v>
      </c>
      <c r="C150" s="999" t="s">
        <v>1060</v>
      </c>
      <c r="D150" s="999" t="s">
        <v>1060</v>
      </c>
      <c r="E150" s="999" t="s">
        <v>1060</v>
      </c>
      <c r="F150" s="999" t="s">
        <v>1060</v>
      </c>
      <c r="G150" s="1000" t="s">
        <v>144</v>
      </c>
      <c r="H150" s="1000" t="s">
        <v>144</v>
      </c>
      <c r="I150" s="1000"/>
      <c r="J150" s="1001"/>
      <c r="K150" s="993"/>
      <c r="L150" s="993"/>
      <c r="M150" s="993"/>
      <c r="N150" s="993"/>
      <c r="O150" s="993"/>
      <c r="P150" s="993"/>
      <c r="Q150" s="993"/>
      <c r="V150" s="670"/>
      <c r="W150" s="670"/>
      <c r="X150" s="670"/>
      <c r="Y150" s="670"/>
      <c r="Z150" s="670"/>
    </row>
    <row r="151" spans="1:26" ht="15" customHeight="1" x14ac:dyDescent="0.25">
      <c r="A151" s="1002" t="s">
        <v>1061</v>
      </c>
      <c r="B151" s="1003">
        <v>284</v>
      </c>
      <c r="C151" s="1003">
        <v>0</v>
      </c>
      <c r="D151" s="1003">
        <v>129</v>
      </c>
      <c r="E151" s="1003">
        <v>15</v>
      </c>
      <c r="F151" s="1003">
        <f t="shared" ref="F151:F170" si="19">+C151/0.8+E151/7</f>
        <v>2.1428571428571428</v>
      </c>
      <c r="G151" s="1004">
        <f t="shared" ref="G151:G170" si="20">+C151/D151</f>
        <v>0</v>
      </c>
      <c r="H151" s="1004">
        <f t="shared" ref="H151:H170" si="21">+C151/E151</f>
        <v>0</v>
      </c>
      <c r="I151" s="1005">
        <f t="shared" ref="I151:I168" si="22">+(D151-E151)/E151</f>
        <v>7.6</v>
      </c>
      <c r="J151" s="1006">
        <v>2</v>
      </c>
      <c r="K151" s="1017"/>
      <c r="L151" s="1017"/>
      <c r="M151" s="993"/>
      <c r="N151" s="993"/>
      <c r="O151" s="993"/>
      <c r="P151" s="993"/>
      <c r="Q151" s="993"/>
      <c r="V151" s="670"/>
      <c r="W151" s="670"/>
      <c r="X151" s="670"/>
    </row>
    <row r="152" spans="1:26" ht="15" customHeight="1" x14ac:dyDescent="0.25">
      <c r="A152" s="1002" t="s">
        <v>1062</v>
      </c>
      <c r="B152" s="1003">
        <v>149</v>
      </c>
      <c r="C152" s="1003">
        <v>-41</v>
      </c>
      <c r="D152" s="1003">
        <v>30</v>
      </c>
      <c r="E152" s="1003">
        <v>-21</v>
      </c>
      <c r="F152" s="1003">
        <f t="shared" si="19"/>
        <v>-54.25</v>
      </c>
      <c r="G152" s="1004">
        <f t="shared" si="20"/>
        <v>-1.3666666666666667</v>
      </c>
      <c r="H152" s="1004">
        <f t="shared" si="21"/>
        <v>1.9523809523809523</v>
      </c>
      <c r="I152" s="1005">
        <f t="shared" si="22"/>
        <v>-2.4285714285714284</v>
      </c>
      <c r="J152" s="1006">
        <v>3</v>
      </c>
      <c r="K152" s="1017"/>
      <c r="L152" s="1017"/>
      <c r="M152" s="993"/>
      <c r="N152" s="993"/>
      <c r="O152" s="993"/>
      <c r="P152" s="993"/>
      <c r="Q152" s="993"/>
      <c r="V152" s="670"/>
      <c r="W152" s="670"/>
      <c r="X152" s="670"/>
    </row>
    <row r="153" spans="1:26" ht="15" customHeight="1" x14ac:dyDescent="0.25">
      <c r="A153" s="1002" t="s">
        <v>1063</v>
      </c>
      <c r="B153" s="1003">
        <v>260</v>
      </c>
      <c r="C153" s="1003">
        <v>18</v>
      </c>
      <c r="D153" s="1003">
        <v>41</v>
      </c>
      <c r="E153" s="1003">
        <v>14</v>
      </c>
      <c r="F153" s="1003">
        <f t="shared" si="19"/>
        <v>24.5</v>
      </c>
      <c r="G153" s="1004">
        <f t="shared" si="20"/>
        <v>0.43902439024390244</v>
      </c>
      <c r="H153" s="1004">
        <f t="shared" si="21"/>
        <v>1.2857142857142858</v>
      </c>
      <c r="I153" s="1005">
        <f t="shared" si="22"/>
        <v>1.9285714285714286</v>
      </c>
      <c r="J153" s="1006">
        <v>4</v>
      </c>
      <c r="K153" s="1017"/>
      <c r="L153" s="1017"/>
      <c r="M153" s="993"/>
      <c r="N153" s="993"/>
      <c r="O153" s="993"/>
      <c r="P153" s="993"/>
      <c r="Q153" s="993"/>
      <c r="V153" s="670"/>
      <c r="W153" s="670"/>
      <c r="X153" s="670"/>
    </row>
    <row r="154" spans="1:26" ht="15" customHeight="1" x14ac:dyDescent="0.25">
      <c r="A154" s="1002" t="s">
        <v>1064</v>
      </c>
      <c r="B154" s="1003">
        <v>52</v>
      </c>
      <c r="C154" s="1003">
        <v>35</v>
      </c>
      <c r="D154" s="1003">
        <v>310</v>
      </c>
      <c r="E154" s="1003">
        <v>290</v>
      </c>
      <c r="F154" s="1003">
        <f t="shared" si="19"/>
        <v>85.178571428571431</v>
      </c>
      <c r="G154" s="1004">
        <f t="shared" si="20"/>
        <v>0.11290322580645161</v>
      </c>
      <c r="H154" s="1004">
        <f t="shared" si="21"/>
        <v>0.1206896551724138</v>
      </c>
      <c r="I154" s="1005">
        <f t="shared" si="22"/>
        <v>6.8965517241379309E-2</v>
      </c>
      <c r="J154" s="1027"/>
      <c r="K154" s="1017"/>
      <c r="L154" s="1017"/>
      <c r="M154" s="993"/>
      <c r="N154" s="993"/>
      <c r="O154" s="993"/>
      <c r="P154" s="993"/>
      <c r="Q154" s="993"/>
      <c r="V154" s="670"/>
      <c r="W154" s="670"/>
      <c r="X154" s="670"/>
    </row>
    <row r="155" spans="1:26" ht="15" customHeight="1" x14ac:dyDescent="0.25">
      <c r="A155" s="1002" t="s">
        <v>1065</v>
      </c>
      <c r="B155" s="1003">
        <v>235</v>
      </c>
      <c r="C155" s="1003">
        <v>-13</v>
      </c>
      <c r="D155" s="1003">
        <v>168</v>
      </c>
      <c r="E155" s="1003">
        <v>23</v>
      </c>
      <c r="F155" s="1003">
        <f t="shared" si="19"/>
        <v>-12.964285714285715</v>
      </c>
      <c r="G155" s="1004">
        <f t="shared" si="20"/>
        <v>-7.7380952380952384E-2</v>
      </c>
      <c r="H155" s="1004">
        <f t="shared" si="21"/>
        <v>-0.56521739130434778</v>
      </c>
      <c r="I155" s="1005">
        <f t="shared" si="22"/>
        <v>6.3043478260869561</v>
      </c>
      <c r="J155" s="1006">
        <v>1</v>
      </c>
      <c r="K155" s="1017"/>
      <c r="L155" s="1017"/>
      <c r="M155" s="993"/>
      <c r="N155" s="993"/>
      <c r="O155" s="993"/>
      <c r="P155" s="993"/>
      <c r="Q155" s="993"/>
      <c r="V155" s="670"/>
      <c r="W155" s="670"/>
      <c r="X155" s="670"/>
    </row>
    <row r="156" spans="1:26" ht="15" customHeight="1" x14ac:dyDescent="0.25">
      <c r="A156" s="1002" t="s">
        <v>1066</v>
      </c>
      <c r="B156" s="1003">
        <v>288</v>
      </c>
      <c r="C156" s="1003">
        <v>49</v>
      </c>
      <c r="D156" s="1003">
        <v>482</v>
      </c>
      <c r="E156" s="1003">
        <v>78</v>
      </c>
      <c r="F156" s="1003">
        <f t="shared" si="19"/>
        <v>72.392857142857139</v>
      </c>
      <c r="G156" s="1004">
        <f t="shared" si="20"/>
        <v>0.1016597510373444</v>
      </c>
      <c r="H156" s="1004">
        <f t="shared" si="21"/>
        <v>0.62820512820512819</v>
      </c>
      <c r="I156" s="1005">
        <f t="shared" si="22"/>
        <v>5.1794871794871797</v>
      </c>
      <c r="J156" s="1006">
        <v>2</v>
      </c>
      <c r="K156" s="1017"/>
      <c r="L156" s="1017"/>
      <c r="M156" s="993"/>
      <c r="N156" s="993"/>
      <c r="O156" s="993"/>
      <c r="P156" s="993"/>
      <c r="Q156" s="993"/>
      <c r="V156" s="670"/>
      <c r="W156" s="670"/>
      <c r="X156" s="670"/>
    </row>
    <row r="157" spans="1:26" ht="15" customHeight="1" x14ac:dyDescent="0.25">
      <c r="A157" s="1002" t="s">
        <v>1067</v>
      </c>
      <c r="B157" s="1003">
        <v>248</v>
      </c>
      <c r="C157" s="1003">
        <v>-1</v>
      </c>
      <c r="D157" s="1003">
        <v>92</v>
      </c>
      <c r="E157" s="1003">
        <v>70</v>
      </c>
      <c r="F157" s="1003">
        <f t="shared" si="19"/>
        <v>8.75</v>
      </c>
      <c r="G157" s="1004">
        <f t="shared" si="20"/>
        <v>-1.0869565217391304E-2</v>
      </c>
      <c r="H157" s="1004">
        <f t="shared" si="21"/>
        <v>-1.4285714285714285E-2</v>
      </c>
      <c r="I157" s="1005">
        <f t="shared" si="22"/>
        <v>0.31428571428571428</v>
      </c>
      <c r="J157" s="1006">
        <v>3</v>
      </c>
      <c r="K157" s="1017"/>
      <c r="L157" s="1017"/>
      <c r="M157" s="993"/>
      <c r="N157" s="993"/>
      <c r="O157" s="993"/>
      <c r="P157" s="993"/>
      <c r="Q157" s="993"/>
      <c r="V157" s="670"/>
      <c r="W157" s="670"/>
      <c r="X157" s="670"/>
    </row>
    <row r="158" spans="1:26" ht="15" customHeight="1" x14ac:dyDescent="0.25">
      <c r="A158" s="1002" t="s">
        <v>1068</v>
      </c>
      <c r="B158" s="1003">
        <v>122</v>
      </c>
      <c r="C158" s="1003">
        <v>33</v>
      </c>
      <c r="D158" s="1003">
        <v>362</v>
      </c>
      <c r="E158" s="1003">
        <v>124</v>
      </c>
      <c r="F158" s="1003">
        <f t="shared" si="19"/>
        <v>58.964285714285715</v>
      </c>
      <c r="G158" s="1004">
        <f t="shared" si="20"/>
        <v>9.1160220994475141E-2</v>
      </c>
      <c r="H158" s="1004">
        <f t="shared" si="21"/>
        <v>0.2661290322580645</v>
      </c>
      <c r="I158" s="1005">
        <f t="shared" si="22"/>
        <v>1.9193548387096775</v>
      </c>
      <c r="J158" s="1006">
        <v>2</v>
      </c>
      <c r="K158" s="1017"/>
      <c r="L158" s="1017"/>
      <c r="M158" s="993"/>
      <c r="N158" s="993"/>
      <c r="O158" s="993"/>
      <c r="P158" s="993"/>
      <c r="Q158" s="993"/>
      <c r="V158" s="670"/>
      <c r="W158" s="670"/>
      <c r="X158" s="670"/>
    </row>
    <row r="159" spans="1:26" ht="15" customHeight="1" x14ac:dyDescent="0.25">
      <c r="A159" s="1002" t="s">
        <v>1069</v>
      </c>
      <c r="B159" s="1003">
        <v>226</v>
      </c>
      <c r="C159" s="1003">
        <v>6</v>
      </c>
      <c r="D159" s="1003">
        <v>272</v>
      </c>
      <c r="E159" s="1003">
        <v>25</v>
      </c>
      <c r="F159" s="1003">
        <f t="shared" si="19"/>
        <v>11.071428571428571</v>
      </c>
      <c r="G159" s="1004">
        <f t="shared" si="20"/>
        <v>2.2058823529411766E-2</v>
      </c>
      <c r="H159" s="1004">
        <f t="shared" si="21"/>
        <v>0.24</v>
      </c>
      <c r="I159" s="1005">
        <f t="shared" si="22"/>
        <v>9.8800000000000008</v>
      </c>
      <c r="J159" s="1006">
        <v>3</v>
      </c>
      <c r="K159" s="1017"/>
      <c r="L159" s="1017"/>
      <c r="M159" s="993"/>
      <c r="N159" s="993"/>
      <c r="O159" s="993"/>
      <c r="P159" s="993"/>
      <c r="Q159" s="993"/>
      <c r="V159" s="670"/>
      <c r="W159" s="670"/>
      <c r="X159" s="670"/>
    </row>
    <row r="160" spans="1:26" ht="15" customHeight="1" x14ac:dyDescent="0.25">
      <c r="A160" s="1002" t="s">
        <v>1070</v>
      </c>
      <c r="B160" s="1003">
        <v>153</v>
      </c>
      <c r="C160" s="1003">
        <v>-59</v>
      </c>
      <c r="D160" s="1003">
        <v>445</v>
      </c>
      <c r="E160" s="1003">
        <v>178</v>
      </c>
      <c r="F160" s="1003">
        <f t="shared" si="19"/>
        <v>-48.321428571428569</v>
      </c>
      <c r="G160" s="1004">
        <f t="shared" si="20"/>
        <v>-0.13258426966292136</v>
      </c>
      <c r="H160" s="1004">
        <f t="shared" si="21"/>
        <v>-0.33146067415730335</v>
      </c>
      <c r="I160" s="1005">
        <f t="shared" si="22"/>
        <v>1.5</v>
      </c>
      <c r="J160" s="1006">
        <v>4</v>
      </c>
      <c r="K160" s="1017"/>
      <c r="L160" s="1017"/>
      <c r="M160" s="993"/>
      <c r="N160" s="993"/>
      <c r="O160" s="993"/>
      <c r="P160" s="993"/>
      <c r="Q160" s="993"/>
      <c r="V160" s="670"/>
      <c r="W160" s="670"/>
      <c r="X160" s="670"/>
    </row>
    <row r="161" spans="1:26" ht="15" customHeight="1" x14ac:dyDescent="0.25">
      <c r="A161" s="1002" t="s">
        <v>1071</v>
      </c>
      <c r="B161" s="1003">
        <v>295</v>
      </c>
      <c r="C161" s="1003">
        <v>26</v>
      </c>
      <c r="D161" s="1003">
        <v>741</v>
      </c>
      <c r="E161" s="1003">
        <v>695</v>
      </c>
      <c r="F161" s="1003">
        <f t="shared" si="19"/>
        <v>131.78571428571428</v>
      </c>
      <c r="G161" s="1004">
        <f t="shared" si="20"/>
        <v>3.5087719298245612E-2</v>
      </c>
      <c r="H161" s="1004">
        <f t="shared" si="21"/>
        <v>3.7410071942446041E-2</v>
      </c>
      <c r="I161" s="1005">
        <f t="shared" si="22"/>
        <v>6.6187050359712229E-2</v>
      </c>
      <c r="J161" s="1006">
        <v>2</v>
      </c>
      <c r="K161" s="1017"/>
      <c r="L161" s="1017"/>
      <c r="M161" s="993"/>
      <c r="N161" s="993"/>
      <c r="O161" s="993"/>
      <c r="P161" s="993"/>
      <c r="Q161" s="993"/>
      <c r="V161" s="670"/>
      <c r="W161" s="670"/>
      <c r="X161" s="670"/>
    </row>
    <row r="162" spans="1:26" ht="15" customHeight="1" x14ac:dyDescent="0.25">
      <c r="A162" s="1002" t="s">
        <v>1072</v>
      </c>
      <c r="B162" s="1003">
        <v>234</v>
      </c>
      <c r="C162" s="1003">
        <v>5</v>
      </c>
      <c r="D162" s="1003">
        <v>245</v>
      </c>
      <c r="E162" s="1003">
        <v>33</v>
      </c>
      <c r="F162" s="1003">
        <f t="shared" si="19"/>
        <v>10.964285714285715</v>
      </c>
      <c r="G162" s="1004">
        <f t="shared" si="20"/>
        <v>2.0408163265306121E-2</v>
      </c>
      <c r="H162" s="1004">
        <f t="shared" si="21"/>
        <v>0.15151515151515152</v>
      </c>
      <c r="I162" s="1005">
        <f t="shared" si="22"/>
        <v>6.4242424242424239</v>
      </c>
      <c r="J162" s="1006">
        <v>1</v>
      </c>
      <c r="K162" s="1017"/>
      <c r="L162" s="1017"/>
      <c r="M162" s="993"/>
      <c r="N162" s="993"/>
      <c r="O162" s="993"/>
      <c r="P162" s="993"/>
      <c r="Q162" s="993"/>
      <c r="V162" s="670"/>
      <c r="W162" s="670"/>
      <c r="X162" s="670"/>
    </row>
    <row r="163" spans="1:26" ht="15" customHeight="1" x14ac:dyDescent="0.25">
      <c r="A163" s="1002" t="s">
        <v>1073</v>
      </c>
      <c r="B163" s="1026" t="s">
        <v>1081</v>
      </c>
      <c r="C163" s="1026" t="s">
        <v>1081</v>
      </c>
      <c r="D163" s="1026" t="s">
        <v>1081</v>
      </c>
      <c r="E163" s="1026" t="s">
        <v>1081</v>
      </c>
      <c r="F163" s="1003"/>
      <c r="G163" s="1004"/>
      <c r="H163" s="1004"/>
      <c r="I163" s="1005"/>
      <c r="J163" s="1027"/>
      <c r="K163" s="1017"/>
      <c r="L163" s="1017"/>
      <c r="M163" s="993"/>
      <c r="N163" s="993"/>
      <c r="O163" s="993"/>
      <c r="P163" s="993"/>
      <c r="Q163" s="993"/>
      <c r="V163" s="670"/>
      <c r="W163" s="670"/>
      <c r="X163" s="670"/>
    </row>
    <row r="164" spans="1:26" ht="15" customHeight="1" x14ac:dyDescent="0.25">
      <c r="A164" s="1002" t="s">
        <v>1074</v>
      </c>
      <c r="B164" s="1026" t="s">
        <v>1081</v>
      </c>
      <c r="C164" s="1026" t="s">
        <v>1081</v>
      </c>
      <c r="D164" s="1026" t="s">
        <v>1081</v>
      </c>
      <c r="E164" s="1026" t="s">
        <v>1081</v>
      </c>
      <c r="F164" s="1003"/>
      <c r="G164" s="1004"/>
      <c r="H164" s="1004"/>
      <c r="I164" s="1005"/>
      <c r="J164" s="1027"/>
      <c r="K164" s="1017"/>
      <c r="L164" s="1017"/>
      <c r="M164" s="993"/>
      <c r="N164" s="993"/>
      <c r="O164" s="993"/>
      <c r="P164" s="993"/>
      <c r="Q164" s="993"/>
      <c r="V164" s="670"/>
      <c r="W164" s="670"/>
      <c r="X164" s="670"/>
    </row>
    <row r="165" spans="1:26" ht="15" customHeight="1" x14ac:dyDescent="0.25">
      <c r="A165" s="1002" t="s">
        <v>1075</v>
      </c>
      <c r="B165" s="1003">
        <v>127</v>
      </c>
      <c r="C165" s="1003">
        <v>5</v>
      </c>
      <c r="D165" s="1003">
        <v>102</v>
      </c>
      <c r="E165" s="1003">
        <v>7</v>
      </c>
      <c r="F165" s="1003">
        <f t="shared" si="19"/>
        <v>7.25</v>
      </c>
      <c r="G165" s="1004">
        <f t="shared" si="20"/>
        <v>4.9019607843137254E-2</v>
      </c>
      <c r="H165" s="1004">
        <f t="shared" si="21"/>
        <v>0.7142857142857143</v>
      </c>
      <c r="I165" s="1005">
        <f t="shared" si="22"/>
        <v>13.571428571428571</v>
      </c>
      <c r="J165" s="1006">
        <v>2</v>
      </c>
      <c r="K165" s="1017"/>
      <c r="L165" s="1017"/>
      <c r="M165" s="993"/>
      <c r="N165" s="993"/>
      <c r="O165" s="993"/>
      <c r="P165" s="993"/>
      <c r="Q165" s="993"/>
      <c r="V165" s="670"/>
      <c r="W165" s="670"/>
      <c r="X165" s="670"/>
    </row>
    <row r="166" spans="1:26" ht="15" customHeight="1" x14ac:dyDescent="0.25">
      <c r="A166" s="1002" t="s">
        <v>1076</v>
      </c>
      <c r="B166" s="1003">
        <v>102</v>
      </c>
      <c r="C166" s="1003">
        <v>0</v>
      </c>
      <c r="D166" s="1003">
        <v>61</v>
      </c>
      <c r="E166" s="1003">
        <v>4</v>
      </c>
      <c r="F166" s="1003">
        <f t="shared" si="19"/>
        <v>0.5714285714285714</v>
      </c>
      <c r="G166" s="1004">
        <f t="shared" si="20"/>
        <v>0</v>
      </c>
      <c r="H166" s="1004">
        <f t="shared" si="21"/>
        <v>0</v>
      </c>
      <c r="I166" s="1005">
        <f t="shared" si="22"/>
        <v>14.25</v>
      </c>
      <c r="J166" s="1006">
        <v>1</v>
      </c>
      <c r="K166" s="1017"/>
      <c r="L166" s="1017"/>
      <c r="M166" s="993"/>
      <c r="N166" s="993"/>
      <c r="O166" s="993"/>
      <c r="P166" s="993"/>
      <c r="Q166" s="993"/>
      <c r="V166" s="670"/>
      <c r="W166" s="670"/>
      <c r="X166" s="670"/>
    </row>
    <row r="167" spans="1:26" ht="15" customHeight="1" x14ac:dyDescent="0.25">
      <c r="A167" s="1002" t="s">
        <v>1077</v>
      </c>
      <c r="B167" s="1003">
        <v>116</v>
      </c>
      <c r="C167" s="1003">
        <v>13</v>
      </c>
      <c r="D167" s="1003">
        <v>115</v>
      </c>
      <c r="E167" s="1003">
        <v>6</v>
      </c>
      <c r="F167" s="1003">
        <f t="shared" si="19"/>
        <v>17.107142857142858</v>
      </c>
      <c r="G167" s="1004">
        <f t="shared" si="20"/>
        <v>0.11304347826086956</v>
      </c>
      <c r="H167" s="1004">
        <f t="shared" si="21"/>
        <v>2.1666666666666665</v>
      </c>
      <c r="I167" s="1005">
        <f t="shared" si="22"/>
        <v>18.166666666666668</v>
      </c>
      <c r="J167" s="1006">
        <v>2</v>
      </c>
      <c r="K167" s="1017"/>
      <c r="L167" s="1017"/>
      <c r="M167" s="993"/>
      <c r="N167" s="993"/>
      <c r="O167" s="993"/>
      <c r="P167" s="993"/>
      <c r="Q167" s="993"/>
      <c r="V167" s="670"/>
      <c r="W167" s="670"/>
      <c r="X167" s="670"/>
    </row>
    <row r="168" spans="1:26" ht="15" customHeight="1" x14ac:dyDescent="0.25">
      <c r="A168" s="1002" t="s">
        <v>1078</v>
      </c>
      <c r="B168" s="1003">
        <v>67</v>
      </c>
      <c r="C168" s="1003">
        <v>0</v>
      </c>
      <c r="D168" s="1003">
        <v>62</v>
      </c>
      <c r="E168" s="1003">
        <v>14</v>
      </c>
      <c r="F168" s="1003">
        <f t="shared" si="19"/>
        <v>2</v>
      </c>
      <c r="G168" s="1004">
        <f t="shared" si="20"/>
        <v>0</v>
      </c>
      <c r="H168" s="1004">
        <f t="shared" si="21"/>
        <v>0</v>
      </c>
      <c r="I168" s="1005">
        <f t="shared" si="22"/>
        <v>3.4285714285714284</v>
      </c>
      <c r="J168" s="1006">
        <v>2</v>
      </c>
      <c r="K168" s="1017"/>
      <c r="L168" s="1017"/>
      <c r="M168" s="993"/>
      <c r="N168" s="993"/>
      <c r="O168" s="993"/>
      <c r="P168" s="993"/>
      <c r="Q168" s="993"/>
      <c r="V168" s="670"/>
      <c r="W168" s="670"/>
      <c r="X168" s="670"/>
    </row>
    <row r="169" spans="1:26" ht="15" customHeight="1" x14ac:dyDescent="0.25">
      <c r="A169" s="1002" t="s">
        <v>1079</v>
      </c>
      <c r="B169" s="1026" t="s">
        <v>1081</v>
      </c>
      <c r="C169" s="1026" t="s">
        <v>1081</v>
      </c>
      <c r="D169" s="1026" t="s">
        <v>1081</v>
      </c>
      <c r="E169" s="1026" t="s">
        <v>1081</v>
      </c>
      <c r="F169" s="1003"/>
      <c r="G169" s="1004"/>
      <c r="H169" s="1004"/>
      <c r="I169" s="1026"/>
      <c r="J169" s="1027"/>
      <c r="K169" s="1017"/>
      <c r="L169" s="1017"/>
      <c r="M169" s="993"/>
      <c r="N169" s="993"/>
      <c r="O169" s="993"/>
      <c r="P169" s="993"/>
      <c r="Q169" s="993"/>
      <c r="V169" s="670"/>
      <c r="W169" s="670"/>
      <c r="X169" s="670"/>
    </row>
    <row r="170" spans="1:26" ht="15" customHeight="1" x14ac:dyDescent="0.25">
      <c r="A170" s="1002" t="s">
        <v>1080</v>
      </c>
      <c r="B170" s="1003">
        <v>67</v>
      </c>
      <c r="C170" s="1003">
        <v>-17</v>
      </c>
      <c r="D170" s="1003">
        <v>22</v>
      </c>
      <c r="E170" s="1003">
        <v>-11</v>
      </c>
      <c r="F170" s="1003">
        <f t="shared" si="19"/>
        <v>-22.821428571428573</v>
      </c>
      <c r="G170" s="1004">
        <f t="shared" si="20"/>
        <v>-0.77272727272727271</v>
      </c>
      <c r="H170" s="1004">
        <f t="shared" si="21"/>
        <v>1.5454545454545454</v>
      </c>
      <c r="I170" s="1005">
        <v>149.58000000000001</v>
      </c>
      <c r="J170" s="1006">
        <v>2</v>
      </c>
      <c r="K170" s="1017"/>
      <c r="L170" s="1017"/>
      <c r="M170" s="993"/>
      <c r="N170" s="993"/>
      <c r="O170" s="993"/>
      <c r="P170" s="993"/>
      <c r="Q170" s="993"/>
      <c r="V170" s="670"/>
      <c r="W170" s="670"/>
      <c r="X170" s="670"/>
    </row>
    <row r="171" spans="1:26" ht="15" customHeight="1" x14ac:dyDescent="0.25">
      <c r="A171" s="749"/>
      <c r="B171" s="1018"/>
      <c r="C171" s="1018"/>
      <c r="D171" s="1018"/>
      <c r="E171" s="1018"/>
      <c r="F171" s="1018"/>
      <c r="G171" s="1018"/>
      <c r="H171" s="1018"/>
      <c r="I171" s="1018"/>
      <c r="J171" s="1019"/>
      <c r="K171" s="1017"/>
      <c r="L171" s="1017"/>
      <c r="M171" s="993"/>
      <c r="N171" s="993"/>
      <c r="O171" s="993"/>
      <c r="P171" s="993"/>
      <c r="Q171" s="993"/>
      <c r="V171" s="670"/>
      <c r="W171" s="670"/>
      <c r="X171" s="670"/>
    </row>
    <row r="172" spans="1:26" ht="15" customHeight="1" x14ac:dyDescent="0.25">
      <c r="A172" s="1008" t="s">
        <v>336</v>
      </c>
      <c r="B172" s="1009">
        <f>+MEDIAN(B151:B170)</f>
        <v>153</v>
      </c>
      <c r="C172" s="1009">
        <f t="shared" ref="C172:J172" si="23">+MEDIAN(C151:C170)</f>
        <v>5</v>
      </c>
      <c r="D172" s="1009">
        <f t="shared" si="23"/>
        <v>129</v>
      </c>
      <c r="E172" s="1009">
        <f t="shared" si="23"/>
        <v>23</v>
      </c>
      <c r="F172" s="1009">
        <f t="shared" si="23"/>
        <v>8.75</v>
      </c>
      <c r="G172" s="1010">
        <f t="shared" si="23"/>
        <v>2.0408163265306121E-2</v>
      </c>
      <c r="H172" s="1010">
        <f t="shared" si="23"/>
        <v>0.15151515151515152</v>
      </c>
      <c r="I172" s="1009">
        <f t="shared" si="23"/>
        <v>5.1794871794871797</v>
      </c>
      <c r="J172" s="1011">
        <f t="shared" si="23"/>
        <v>2</v>
      </c>
      <c r="K172" s="993"/>
      <c r="L172" s="993"/>
      <c r="M172" s="993"/>
      <c r="N172" s="993"/>
      <c r="O172" s="993"/>
      <c r="P172" s="993"/>
      <c r="Q172" s="993"/>
      <c r="V172" s="670"/>
      <c r="W172" s="670"/>
      <c r="X172" s="670"/>
      <c r="Y172" s="670"/>
      <c r="Z172" s="670"/>
    </row>
    <row r="173" spans="1:26" ht="15" customHeight="1" thickBot="1" x14ac:dyDescent="0.3">
      <c r="A173" s="1020" t="s">
        <v>335</v>
      </c>
      <c r="B173" s="1021">
        <f>+AVERAGE(B151:B170)</f>
        <v>177.94117647058823</v>
      </c>
      <c r="C173" s="1021">
        <f t="shared" ref="C173:J173" si="24">+AVERAGE(C151:C170)</f>
        <v>3.4705882352941178</v>
      </c>
      <c r="D173" s="1021">
        <f t="shared" si="24"/>
        <v>216.41176470588235</v>
      </c>
      <c r="E173" s="1021">
        <f t="shared" si="24"/>
        <v>90.82352941176471</v>
      </c>
      <c r="F173" s="1021">
        <f t="shared" si="24"/>
        <v>17.313025210084032</v>
      </c>
      <c r="G173" s="1022">
        <f t="shared" si="24"/>
        <v>-8.0933138022121209E-2</v>
      </c>
      <c r="H173" s="1022">
        <f t="shared" si="24"/>
        <v>0.48220514257929425</v>
      </c>
      <c r="I173" s="1023">
        <f t="shared" si="24"/>
        <v>13.985502189239984</v>
      </c>
      <c r="J173" s="1024">
        <f t="shared" si="24"/>
        <v>2.25</v>
      </c>
      <c r="K173" s="993"/>
      <c r="L173" s="993"/>
      <c r="M173" s="993"/>
      <c r="N173" s="993"/>
      <c r="O173" s="993"/>
      <c r="P173" s="993"/>
      <c r="Q173" s="993"/>
      <c r="V173" s="670"/>
      <c r="W173" s="670"/>
      <c r="X173" s="670"/>
      <c r="Y173" s="670"/>
      <c r="Z173" s="670"/>
    </row>
    <row r="174" spans="1:26" ht="15" customHeight="1" x14ac:dyDescent="0.25">
      <c r="A174" s="952" t="s">
        <v>1088</v>
      </c>
      <c r="B174" s="1028"/>
      <c r="C174" s="1028"/>
      <c r="D174" s="1028"/>
      <c r="E174" s="1028"/>
      <c r="F174" s="1028"/>
      <c r="G174" s="1028"/>
      <c r="H174" s="1028"/>
      <c r="I174" s="1028"/>
      <c r="J174" s="1029"/>
      <c r="K174" s="1017"/>
      <c r="L174" s="1017"/>
      <c r="M174" s="993"/>
      <c r="N174" s="993"/>
      <c r="O174" s="993"/>
      <c r="P174" s="993"/>
      <c r="Q174" s="993"/>
      <c r="V174" s="670"/>
      <c r="W174" s="670"/>
      <c r="X174" s="670"/>
    </row>
    <row r="175" spans="1:26" ht="15" customHeight="1" x14ac:dyDescent="0.25">
      <c r="A175" s="1008" t="s">
        <v>1082</v>
      </c>
      <c r="B175" s="1030">
        <v>187</v>
      </c>
      <c r="C175" s="1030">
        <v>3</v>
      </c>
      <c r="D175" s="1030">
        <v>138</v>
      </c>
      <c r="E175" s="1030">
        <v>34</v>
      </c>
      <c r="F175" s="1030">
        <v>8.6071428571428577</v>
      </c>
      <c r="G175" s="1031">
        <v>2.0408163265306121E-2</v>
      </c>
      <c r="H175" s="1031">
        <v>0.16666666666666666</v>
      </c>
      <c r="I175" s="1030">
        <v>2.6153846153846154</v>
      </c>
      <c r="J175" s="1032">
        <v>2</v>
      </c>
      <c r="K175" s="1017"/>
      <c r="L175" s="1017"/>
      <c r="M175" s="993"/>
      <c r="N175" s="993"/>
      <c r="O175" s="993"/>
      <c r="P175" s="993"/>
      <c r="Q175" s="993"/>
      <c r="V175" s="670"/>
      <c r="W175" s="670"/>
      <c r="X175" s="670"/>
    </row>
    <row r="176" spans="1:26" ht="15" customHeight="1" thickBot="1" x14ac:dyDescent="0.3">
      <c r="A176" s="1020" t="s">
        <v>1083</v>
      </c>
      <c r="B176" s="1033">
        <v>195.88</v>
      </c>
      <c r="C176" s="1033">
        <v>14.626666666666667</v>
      </c>
      <c r="D176" s="1033">
        <v>248.06666666666666</v>
      </c>
      <c r="E176" s="1033">
        <v>103.78666666666666</v>
      </c>
      <c r="F176" s="1033">
        <v>33.11</v>
      </c>
      <c r="G176" s="1034">
        <v>2.4232994594480865E-2</v>
      </c>
      <c r="H176" s="1034">
        <v>0.30916753622388699</v>
      </c>
      <c r="I176" s="1033">
        <v>3.7107553939005817</v>
      </c>
      <c r="J176" s="1035">
        <v>2.1643835616438358</v>
      </c>
      <c r="K176" s="1017"/>
      <c r="L176" s="1017"/>
      <c r="M176" s="993"/>
      <c r="N176" s="993"/>
      <c r="O176" s="993"/>
      <c r="P176" s="993"/>
      <c r="Q176" s="993"/>
      <c r="V176" s="670"/>
      <c r="W176" s="670"/>
      <c r="X176" s="670"/>
    </row>
    <row r="177" spans="1:24" ht="15" customHeight="1" x14ac:dyDescent="0.25">
      <c r="A177" s="321"/>
      <c r="B177" s="1017"/>
      <c r="C177" s="1017"/>
      <c r="D177" s="1017"/>
      <c r="E177" s="1017"/>
      <c r="F177" s="1017"/>
      <c r="G177" s="1036"/>
      <c r="H177" s="1036"/>
      <c r="I177" s="1017"/>
      <c r="J177" s="1017"/>
      <c r="K177" s="1017"/>
      <c r="L177" s="1017"/>
      <c r="M177" s="993"/>
      <c r="N177" s="993"/>
      <c r="O177" s="993"/>
      <c r="P177" s="993"/>
      <c r="Q177" s="993"/>
      <c r="V177" s="670"/>
      <c r="W177" s="670"/>
      <c r="X177" s="670"/>
    </row>
    <row r="178" spans="1:24" ht="15" customHeight="1" x14ac:dyDescent="0.25">
      <c r="A178" s="321"/>
      <c r="B178" s="1017"/>
      <c r="C178" s="1017"/>
      <c r="D178" s="1017"/>
      <c r="E178" s="1017"/>
      <c r="F178" s="1017"/>
      <c r="G178" s="1017"/>
      <c r="H178" s="1017"/>
      <c r="I178" s="1017"/>
      <c r="J178" s="1017"/>
      <c r="K178" s="1017"/>
      <c r="L178" s="1017"/>
      <c r="M178" s="993"/>
      <c r="N178" s="993"/>
      <c r="O178" s="993"/>
      <c r="P178" s="993"/>
      <c r="Q178" s="993"/>
      <c r="V178" s="670"/>
      <c r="W178" s="670"/>
      <c r="X178" s="670"/>
    </row>
    <row r="179" spans="1:24" ht="15" customHeight="1" x14ac:dyDescent="0.25">
      <c r="A179" s="321"/>
      <c r="B179" s="1017"/>
      <c r="C179" s="1017"/>
      <c r="D179" s="1017"/>
      <c r="E179" s="1017"/>
      <c r="F179" s="1017"/>
      <c r="G179" s="1017"/>
      <c r="H179" s="1017"/>
      <c r="I179" s="1017"/>
      <c r="J179" s="1017"/>
      <c r="K179" s="1017"/>
      <c r="L179" s="1017"/>
      <c r="M179" s="993"/>
      <c r="N179" s="993"/>
      <c r="O179" s="993"/>
      <c r="P179" s="993"/>
      <c r="Q179" s="993"/>
      <c r="V179" s="670"/>
      <c r="W179" s="670"/>
      <c r="X179" s="670"/>
    </row>
    <row r="180" spans="1:24" x14ac:dyDescent="0.25">
      <c r="A180" s="321"/>
      <c r="B180" s="1017"/>
      <c r="C180" s="1017"/>
      <c r="D180" s="1017"/>
      <c r="E180" s="1017"/>
      <c r="F180" s="1017"/>
      <c r="G180" s="1017"/>
      <c r="H180" s="1017"/>
      <c r="I180" s="1017"/>
      <c r="J180" s="1017"/>
      <c r="K180" s="1017"/>
      <c r="L180" s="1017"/>
      <c r="M180" s="993"/>
      <c r="N180" s="993"/>
      <c r="O180" s="993"/>
      <c r="P180" s="993"/>
      <c r="Q180" s="993"/>
      <c r="V180" s="670"/>
      <c r="W180" s="670"/>
      <c r="X180" s="670"/>
    </row>
    <row r="181" spans="1:24" x14ac:dyDescent="0.25">
      <c r="A181" s="321"/>
      <c r="B181" s="1017"/>
      <c r="C181" s="1017"/>
      <c r="D181" s="1017"/>
      <c r="E181" s="1017"/>
      <c r="F181" s="1017"/>
      <c r="G181" s="1017"/>
      <c r="H181" s="1017"/>
      <c r="I181" s="1017"/>
      <c r="J181" s="1017"/>
      <c r="K181" s="1017"/>
      <c r="L181" s="1017"/>
      <c r="M181" s="993"/>
      <c r="N181" s="993"/>
      <c r="O181" s="993"/>
      <c r="P181" s="993"/>
      <c r="Q181" s="993"/>
      <c r="V181" s="670"/>
      <c r="W181" s="670"/>
      <c r="X181" s="670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showGridLines="0" topLeftCell="A119" workbookViewId="0">
      <selection activeCell="C142" sqref="C142"/>
    </sheetView>
  </sheetViews>
  <sheetFormatPr baseColWidth="10" defaultColWidth="11.42578125" defaultRowHeight="15.75" x14ac:dyDescent="0.25"/>
  <cols>
    <col min="1" max="1" width="4.42578125" style="671" customWidth="1"/>
    <col min="2" max="2" width="2.7109375" style="671" customWidth="1"/>
    <col min="3" max="3" width="68" style="671" customWidth="1"/>
    <col min="4" max="4" width="9.5703125" style="671" customWidth="1"/>
    <col min="5" max="6" width="11.42578125" style="671"/>
    <col min="7" max="7" width="6.42578125" style="671" customWidth="1"/>
    <col min="8" max="8" width="8" style="671" customWidth="1"/>
    <col min="9" max="9" width="8.140625" style="671" customWidth="1"/>
    <col min="10" max="10" width="10.7109375" style="671" customWidth="1"/>
    <col min="11" max="11" width="0.85546875" style="671" customWidth="1"/>
    <col min="12" max="256" width="11.42578125" style="671"/>
    <col min="257" max="257" width="3" style="671" customWidth="1"/>
    <col min="258" max="258" width="6" style="671" customWidth="1"/>
    <col min="259" max="259" width="43.5703125" style="671" customWidth="1"/>
    <col min="260" max="260" width="13.5703125" style="671" customWidth="1"/>
    <col min="261" max="265" width="11.42578125" style="671"/>
    <col min="266" max="266" width="10.7109375" style="671" customWidth="1"/>
    <col min="267" max="267" width="8.5703125" style="671" customWidth="1"/>
    <col min="268" max="512" width="11.42578125" style="671"/>
    <col min="513" max="513" width="3" style="671" customWidth="1"/>
    <col min="514" max="514" width="6" style="671" customWidth="1"/>
    <col min="515" max="515" width="43.5703125" style="671" customWidth="1"/>
    <col min="516" max="516" width="13.5703125" style="671" customWidth="1"/>
    <col min="517" max="521" width="11.42578125" style="671"/>
    <col min="522" max="522" width="10.7109375" style="671" customWidth="1"/>
    <col min="523" max="523" width="8.5703125" style="671" customWidth="1"/>
    <col min="524" max="768" width="11.42578125" style="671"/>
    <col min="769" max="769" width="3" style="671" customWidth="1"/>
    <col min="770" max="770" width="6" style="671" customWidth="1"/>
    <col min="771" max="771" width="43.5703125" style="671" customWidth="1"/>
    <col min="772" max="772" width="13.5703125" style="671" customWidth="1"/>
    <col min="773" max="777" width="11.42578125" style="671"/>
    <col min="778" max="778" width="10.7109375" style="671" customWidth="1"/>
    <col min="779" max="779" width="8.5703125" style="671" customWidth="1"/>
    <col min="780" max="1024" width="11.42578125" style="671"/>
    <col min="1025" max="1025" width="3" style="671" customWidth="1"/>
    <col min="1026" max="1026" width="6" style="671" customWidth="1"/>
    <col min="1027" max="1027" width="43.5703125" style="671" customWidth="1"/>
    <col min="1028" max="1028" width="13.5703125" style="671" customWidth="1"/>
    <col min="1029" max="1033" width="11.42578125" style="671"/>
    <col min="1034" max="1034" width="10.7109375" style="671" customWidth="1"/>
    <col min="1035" max="1035" width="8.5703125" style="671" customWidth="1"/>
    <col min="1036" max="1280" width="11.42578125" style="671"/>
    <col min="1281" max="1281" width="3" style="671" customWidth="1"/>
    <col min="1282" max="1282" width="6" style="671" customWidth="1"/>
    <col min="1283" max="1283" width="43.5703125" style="671" customWidth="1"/>
    <col min="1284" max="1284" width="13.5703125" style="671" customWidth="1"/>
    <col min="1285" max="1289" width="11.42578125" style="671"/>
    <col min="1290" max="1290" width="10.7109375" style="671" customWidth="1"/>
    <col min="1291" max="1291" width="8.5703125" style="671" customWidth="1"/>
    <col min="1292" max="1536" width="11.42578125" style="671"/>
    <col min="1537" max="1537" width="3" style="671" customWidth="1"/>
    <col min="1538" max="1538" width="6" style="671" customWidth="1"/>
    <col min="1539" max="1539" width="43.5703125" style="671" customWidth="1"/>
    <col min="1540" max="1540" width="13.5703125" style="671" customWidth="1"/>
    <col min="1541" max="1545" width="11.42578125" style="671"/>
    <col min="1546" max="1546" width="10.7109375" style="671" customWidth="1"/>
    <col min="1547" max="1547" width="8.5703125" style="671" customWidth="1"/>
    <col min="1548" max="1792" width="11.42578125" style="671"/>
    <col min="1793" max="1793" width="3" style="671" customWidth="1"/>
    <col min="1794" max="1794" width="6" style="671" customWidth="1"/>
    <col min="1795" max="1795" width="43.5703125" style="671" customWidth="1"/>
    <col min="1796" max="1796" width="13.5703125" style="671" customWidth="1"/>
    <col min="1797" max="1801" width="11.42578125" style="671"/>
    <col min="1802" max="1802" width="10.7109375" style="671" customWidth="1"/>
    <col min="1803" max="1803" width="8.5703125" style="671" customWidth="1"/>
    <col min="1804" max="2048" width="11.42578125" style="671"/>
    <col min="2049" max="2049" width="3" style="671" customWidth="1"/>
    <col min="2050" max="2050" width="6" style="671" customWidth="1"/>
    <col min="2051" max="2051" width="43.5703125" style="671" customWidth="1"/>
    <col min="2052" max="2052" width="13.5703125" style="671" customWidth="1"/>
    <col min="2053" max="2057" width="11.42578125" style="671"/>
    <col min="2058" max="2058" width="10.7109375" style="671" customWidth="1"/>
    <col min="2059" max="2059" width="8.5703125" style="671" customWidth="1"/>
    <col min="2060" max="2304" width="11.42578125" style="671"/>
    <col min="2305" max="2305" width="3" style="671" customWidth="1"/>
    <col min="2306" max="2306" width="6" style="671" customWidth="1"/>
    <col min="2307" max="2307" width="43.5703125" style="671" customWidth="1"/>
    <col min="2308" max="2308" width="13.5703125" style="671" customWidth="1"/>
    <col min="2309" max="2313" width="11.42578125" style="671"/>
    <col min="2314" max="2314" width="10.7109375" style="671" customWidth="1"/>
    <col min="2315" max="2315" width="8.5703125" style="671" customWidth="1"/>
    <col min="2316" max="2560" width="11.42578125" style="671"/>
    <col min="2561" max="2561" width="3" style="671" customWidth="1"/>
    <col min="2562" max="2562" width="6" style="671" customWidth="1"/>
    <col min="2563" max="2563" width="43.5703125" style="671" customWidth="1"/>
    <col min="2564" max="2564" width="13.5703125" style="671" customWidth="1"/>
    <col min="2565" max="2569" width="11.42578125" style="671"/>
    <col min="2570" max="2570" width="10.7109375" style="671" customWidth="1"/>
    <col min="2571" max="2571" width="8.5703125" style="671" customWidth="1"/>
    <col min="2572" max="2816" width="11.42578125" style="671"/>
    <col min="2817" max="2817" width="3" style="671" customWidth="1"/>
    <col min="2818" max="2818" width="6" style="671" customWidth="1"/>
    <col min="2819" max="2819" width="43.5703125" style="671" customWidth="1"/>
    <col min="2820" max="2820" width="13.5703125" style="671" customWidth="1"/>
    <col min="2821" max="2825" width="11.42578125" style="671"/>
    <col min="2826" max="2826" width="10.7109375" style="671" customWidth="1"/>
    <col min="2827" max="2827" width="8.5703125" style="671" customWidth="1"/>
    <col min="2828" max="3072" width="11.42578125" style="671"/>
    <col min="3073" max="3073" width="3" style="671" customWidth="1"/>
    <col min="3074" max="3074" width="6" style="671" customWidth="1"/>
    <col min="3075" max="3075" width="43.5703125" style="671" customWidth="1"/>
    <col min="3076" max="3076" width="13.5703125" style="671" customWidth="1"/>
    <col min="3077" max="3081" width="11.42578125" style="671"/>
    <col min="3082" max="3082" width="10.7109375" style="671" customWidth="1"/>
    <col min="3083" max="3083" width="8.5703125" style="671" customWidth="1"/>
    <col min="3084" max="3328" width="11.42578125" style="671"/>
    <col min="3329" max="3329" width="3" style="671" customWidth="1"/>
    <col min="3330" max="3330" width="6" style="671" customWidth="1"/>
    <col min="3331" max="3331" width="43.5703125" style="671" customWidth="1"/>
    <col min="3332" max="3332" width="13.5703125" style="671" customWidth="1"/>
    <col min="3333" max="3337" width="11.42578125" style="671"/>
    <col min="3338" max="3338" width="10.7109375" style="671" customWidth="1"/>
    <col min="3339" max="3339" width="8.5703125" style="671" customWidth="1"/>
    <col min="3340" max="3584" width="11.42578125" style="671"/>
    <col min="3585" max="3585" width="3" style="671" customWidth="1"/>
    <col min="3586" max="3586" width="6" style="671" customWidth="1"/>
    <col min="3587" max="3587" width="43.5703125" style="671" customWidth="1"/>
    <col min="3588" max="3588" width="13.5703125" style="671" customWidth="1"/>
    <col min="3589" max="3593" width="11.42578125" style="671"/>
    <col min="3594" max="3594" width="10.7109375" style="671" customWidth="1"/>
    <col min="3595" max="3595" width="8.5703125" style="671" customWidth="1"/>
    <col min="3596" max="3840" width="11.42578125" style="671"/>
    <col min="3841" max="3841" width="3" style="671" customWidth="1"/>
    <col min="3842" max="3842" width="6" style="671" customWidth="1"/>
    <col min="3843" max="3843" width="43.5703125" style="671" customWidth="1"/>
    <col min="3844" max="3844" width="13.5703125" style="671" customWidth="1"/>
    <col min="3845" max="3849" width="11.42578125" style="671"/>
    <col min="3850" max="3850" width="10.7109375" style="671" customWidth="1"/>
    <col min="3851" max="3851" width="8.5703125" style="671" customWidth="1"/>
    <col min="3852" max="4096" width="11.42578125" style="671"/>
    <col min="4097" max="4097" width="3" style="671" customWidth="1"/>
    <col min="4098" max="4098" width="6" style="671" customWidth="1"/>
    <col min="4099" max="4099" width="43.5703125" style="671" customWidth="1"/>
    <col min="4100" max="4100" width="13.5703125" style="671" customWidth="1"/>
    <col min="4101" max="4105" width="11.42578125" style="671"/>
    <col min="4106" max="4106" width="10.7109375" style="671" customWidth="1"/>
    <col min="4107" max="4107" width="8.5703125" style="671" customWidth="1"/>
    <col min="4108" max="4352" width="11.42578125" style="671"/>
    <col min="4353" max="4353" width="3" style="671" customWidth="1"/>
    <col min="4354" max="4354" width="6" style="671" customWidth="1"/>
    <col min="4355" max="4355" width="43.5703125" style="671" customWidth="1"/>
    <col min="4356" max="4356" width="13.5703125" style="671" customWidth="1"/>
    <col min="4357" max="4361" width="11.42578125" style="671"/>
    <col min="4362" max="4362" width="10.7109375" style="671" customWidth="1"/>
    <col min="4363" max="4363" width="8.5703125" style="671" customWidth="1"/>
    <col min="4364" max="4608" width="11.42578125" style="671"/>
    <col min="4609" max="4609" width="3" style="671" customWidth="1"/>
    <col min="4610" max="4610" width="6" style="671" customWidth="1"/>
    <col min="4611" max="4611" width="43.5703125" style="671" customWidth="1"/>
    <col min="4612" max="4612" width="13.5703125" style="671" customWidth="1"/>
    <col min="4613" max="4617" width="11.42578125" style="671"/>
    <col min="4618" max="4618" width="10.7109375" style="671" customWidth="1"/>
    <col min="4619" max="4619" width="8.5703125" style="671" customWidth="1"/>
    <col min="4620" max="4864" width="11.42578125" style="671"/>
    <col min="4865" max="4865" width="3" style="671" customWidth="1"/>
    <col min="4866" max="4866" width="6" style="671" customWidth="1"/>
    <col min="4867" max="4867" width="43.5703125" style="671" customWidth="1"/>
    <col min="4868" max="4868" width="13.5703125" style="671" customWidth="1"/>
    <col min="4869" max="4873" width="11.42578125" style="671"/>
    <col min="4874" max="4874" width="10.7109375" style="671" customWidth="1"/>
    <col min="4875" max="4875" width="8.5703125" style="671" customWidth="1"/>
    <col min="4876" max="5120" width="11.42578125" style="671"/>
    <col min="5121" max="5121" width="3" style="671" customWidth="1"/>
    <col min="5122" max="5122" width="6" style="671" customWidth="1"/>
    <col min="5123" max="5123" width="43.5703125" style="671" customWidth="1"/>
    <col min="5124" max="5124" width="13.5703125" style="671" customWidth="1"/>
    <col min="5125" max="5129" width="11.42578125" style="671"/>
    <col min="5130" max="5130" width="10.7109375" style="671" customWidth="1"/>
    <col min="5131" max="5131" width="8.5703125" style="671" customWidth="1"/>
    <col min="5132" max="5376" width="11.42578125" style="671"/>
    <col min="5377" max="5377" width="3" style="671" customWidth="1"/>
    <col min="5378" max="5378" width="6" style="671" customWidth="1"/>
    <col min="5379" max="5379" width="43.5703125" style="671" customWidth="1"/>
    <col min="5380" max="5380" width="13.5703125" style="671" customWidth="1"/>
    <col min="5381" max="5385" width="11.42578125" style="671"/>
    <col min="5386" max="5386" width="10.7109375" style="671" customWidth="1"/>
    <col min="5387" max="5387" width="8.5703125" style="671" customWidth="1"/>
    <col min="5388" max="5632" width="11.42578125" style="671"/>
    <col min="5633" max="5633" width="3" style="671" customWidth="1"/>
    <col min="5634" max="5634" width="6" style="671" customWidth="1"/>
    <col min="5635" max="5635" width="43.5703125" style="671" customWidth="1"/>
    <col min="5636" max="5636" width="13.5703125" style="671" customWidth="1"/>
    <col min="5637" max="5641" width="11.42578125" style="671"/>
    <col min="5642" max="5642" width="10.7109375" style="671" customWidth="1"/>
    <col min="5643" max="5643" width="8.5703125" style="671" customWidth="1"/>
    <col min="5644" max="5888" width="11.42578125" style="671"/>
    <col min="5889" max="5889" width="3" style="671" customWidth="1"/>
    <col min="5890" max="5890" width="6" style="671" customWidth="1"/>
    <col min="5891" max="5891" width="43.5703125" style="671" customWidth="1"/>
    <col min="5892" max="5892" width="13.5703125" style="671" customWidth="1"/>
    <col min="5893" max="5897" width="11.42578125" style="671"/>
    <col min="5898" max="5898" width="10.7109375" style="671" customWidth="1"/>
    <col min="5899" max="5899" width="8.5703125" style="671" customWidth="1"/>
    <col min="5900" max="6144" width="11.42578125" style="671"/>
    <col min="6145" max="6145" width="3" style="671" customWidth="1"/>
    <col min="6146" max="6146" width="6" style="671" customWidth="1"/>
    <col min="6147" max="6147" width="43.5703125" style="671" customWidth="1"/>
    <col min="6148" max="6148" width="13.5703125" style="671" customWidth="1"/>
    <col min="6149" max="6153" width="11.42578125" style="671"/>
    <col min="6154" max="6154" width="10.7109375" style="671" customWidth="1"/>
    <col min="6155" max="6155" width="8.5703125" style="671" customWidth="1"/>
    <col min="6156" max="6400" width="11.42578125" style="671"/>
    <col min="6401" max="6401" width="3" style="671" customWidth="1"/>
    <col min="6402" max="6402" width="6" style="671" customWidth="1"/>
    <col min="6403" max="6403" width="43.5703125" style="671" customWidth="1"/>
    <col min="6404" max="6404" width="13.5703125" style="671" customWidth="1"/>
    <col min="6405" max="6409" width="11.42578125" style="671"/>
    <col min="6410" max="6410" width="10.7109375" style="671" customWidth="1"/>
    <col min="6411" max="6411" width="8.5703125" style="671" customWidth="1"/>
    <col min="6412" max="6656" width="11.42578125" style="671"/>
    <col min="6657" max="6657" width="3" style="671" customWidth="1"/>
    <col min="6658" max="6658" width="6" style="671" customWidth="1"/>
    <col min="6659" max="6659" width="43.5703125" style="671" customWidth="1"/>
    <col min="6660" max="6660" width="13.5703125" style="671" customWidth="1"/>
    <col min="6661" max="6665" width="11.42578125" style="671"/>
    <col min="6666" max="6666" width="10.7109375" style="671" customWidth="1"/>
    <col min="6667" max="6667" width="8.5703125" style="671" customWidth="1"/>
    <col min="6668" max="6912" width="11.42578125" style="671"/>
    <col min="6913" max="6913" width="3" style="671" customWidth="1"/>
    <col min="6914" max="6914" width="6" style="671" customWidth="1"/>
    <col min="6915" max="6915" width="43.5703125" style="671" customWidth="1"/>
    <col min="6916" max="6916" width="13.5703125" style="671" customWidth="1"/>
    <col min="6917" max="6921" width="11.42578125" style="671"/>
    <col min="6922" max="6922" width="10.7109375" style="671" customWidth="1"/>
    <col min="6923" max="6923" width="8.5703125" style="671" customWidth="1"/>
    <col min="6924" max="7168" width="11.42578125" style="671"/>
    <col min="7169" max="7169" width="3" style="671" customWidth="1"/>
    <col min="7170" max="7170" width="6" style="671" customWidth="1"/>
    <col min="7171" max="7171" width="43.5703125" style="671" customWidth="1"/>
    <col min="7172" max="7172" width="13.5703125" style="671" customWidth="1"/>
    <col min="7173" max="7177" width="11.42578125" style="671"/>
    <col min="7178" max="7178" width="10.7109375" style="671" customWidth="1"/>
    <col min="7179" max="7179" width="8.5703125" style="671" customWidth="1"/>
    <col min="7180" max="7424" width="11.42578125" style="671"/>
    <col min="7425" max="7425" width="3" style="671" customWidth="1"/>
    <col min="7426" max="7426" width="6" style="671" customWidth="1"/>
    <col min="7427" max="7427" width="43.5703125" style="671" customWidth="1"/>
    <col min="7428" max="7428" width="13.5703125" style="671" customWidth="1"/>
    <col min="7429" max="7433" width="11.42578125" style="671"/>
    <col min="7434" max="7434" width="10.7109375" style="671" customWidth="1"/>
    <col min="7435" max="7435" width="8.5703125" style="671" customWidth="1"/>
    <col min="7436" max="7680" width="11.42578125" style="671"/>
    <col min="7681" max="7681" width="3" style="671" customWidth="1"/>
    <col min="7682" max="7682" width="6" style="671" customWidth="1"/>
    <col min="7683" max="7683" width="43.5703125" style="671" customWidth="1"/>
    <col min="7684" max="7684" width="13.5703125" style="671" customWidth="1"/>
    <col min="7685" max="7689" width="11.42578125" style="671"/>
    <col min="7690" max="7690" width="10.7109375" style="671" customWidth="1"/>
    <col min="7691" max="7691" width="8.5703125" style="671" customWidth="1"/>
    <col min="7692" max="7936" width="11.42578125" style="671"/>
    <col min="7937" max="7937" width="3" style="671" customWidth="1"/>
    <col min="7938" max="7938" width="6" style="671" customWidth="1"/>
    <col min="7939" max="7939" width="43.5703125" style="671" customWidth="1"/>
    <col min="7940" max="7940" width="13.5703125" style="671" customWidth="1"/>
    <col min="7941" max="7945" width="11.42578125" style="671"/>
    <col min="7946" max="7946" width="10.7109375" style="671" customWidth="1"/>
    <col min="7947" max="7947" width="8.5703125" style="671" customWidth="1"/>
    <col min="7948" max="8192" width="11.42578125" style="671"/>
    <col min="8193" max="8193" width="3" style="671" customWidth="1"/>
    <col min="8194" max="8194" width="6" style="671" customWidth="1"/>
    <col min="8195" max="8195" width="43.5703125" style="671" customWidth="1"/>
    <col min="8196" max="8196" width="13.5703125" style="671" customWidth="1"/>
    <col min="8197" max="8201" width="11.42578125" style="671"/>
    <col min="8202" max="8202" width="10.7109375" style="671" customWidth="1"/>
    <col min="8203" max="8203" width="8.5703125" style="671" customWidth="1"/>
    <col min="8204" max="8448" width="11.42578125" style="671"/>
    <col min="8449" max="8449" width="3" style="671" customWidth="1"/>
    <col min="8450" max="8450" width="6" style="671" customWidth="1"/>
    <col min="8451" max="8451" width="43.5703125" style="671" customWidth="1"/>
    <col min="8452" max="8452" width="13.5703125" style="671" customWidth="1"/>
    <col min="8453" max="8457" width="11.42578125" style="671"/>
    <col min="8458" max="8458" width="10.7109375" style="671" customWidth="1"/>
    <col min="8459" max="8459" width="8.5703125" style="671" customWidth="1"/>
    <col min="8460" max="8704" width="11.42578125" style="671"/>
    <col min="8705" max="8705" width="3" style="671" customWidth="1"/>
    <col min="8706" max="8706" width="6" style="671" customWidth="1"/>
    <col min="8707" max="8707" width="43.5703125" style="671" customWidth="1"/>
    <col min="8708" max="8708" width="13.5703125" style="671" customWidth="1"/>
    <col min="8709" max="8713" width="11.42578125" style="671"/>
    <col min="8714" max="8714" width="10.7109375" style="671" customWidth="1"/>
    <col min="8715" max="8715" width="8.5703125" style="671" customWidth="1"/>
    <col min="8716" max="8960" width="11.42578125" style="671"/>
    <col min="8961" max="8961" width="3" style="671" customWidth="1"/>
    <col min="8962" max="8962" width="6" style="671" customWidth="1"/>
    <col min="8963" max="8963" width="43.5703125" style="671" customWidth="1"/>
    <col min="8964" max="8964" width="13.5703125" style="671" customWidth="1"/>
    <col min="8965" max="8969" width="11.42578125" style="671"/>
    <col min="8970" max="8970" width="10.7109375" style="671" customWidth="1"/>
    <col min="8971" max="8971" width="8.5703125" style="671" customWidth="1"/>
    <col min="8972" max="9216" width="11.42578125" style="671"/>
    <col min="9217" max="9217" width="3" style="671" customWidth="1"/>
    <col min="9218" max="9218" width="6" style="671" customWidth="1"/>
    <col min="9219" max="9219" width="43.5703125" style="671" customWidth="1"/>
    <col min="9220" max="9220" width="13.5703125" style="671" customWidth="1"/>
    <col min="9221" max="9225" width="11.42578125" style="671"/>
    <col min="9226" max="9226" width="10.7109375" style="671" customWidth="1"/>
    <col min="9227" max="9227" width="8.5703125" style="671" customWidth="1"/>
    <col min="9228" max="9472" width="11.42578125" style="671"/>
    <col min="9473" max="9473" width="3" style="671" customWidth="1"/>
    <col min="9474" max="9474" width="6" style="671" customWidth="1"/>
    <col min="9475" max="9475" width="43.5703125" style="671" customWidth="1"/>
    <col min="9476" max="9476" width="13.5703125" style="671" customWidth="1"/>
    <col min="9477" max="9481" width="11.42578125" style="671"/>
    <col min="9482" max="9482" width="10.7109375" style="671" customWidth="1"/>
    <col min="9483" max="9483" width="8.5703125" style="671" customWidth="1"/>
    <col min="9484" max="9728" width="11.42578125" style="671"/>
    <col min="9729" max="9729" width="3" style="671" customWidth="1"/>
    <col min="9730" max="9730" width="6" style="671" customWidth="1"/>
    <col min="9731" max="9731" width="43.5703125" style="671" customWidth="1"/>
    <col min="9732" max="9732" width="13.5703125" style="671" customWidth="1"/>
    <col min="9733" max="9737" width="11.42578125" style="671"/>
    <col min="9738" max="9738" width="10.7109375" style="671" customWidth="1"/>
    <col min="9739" max="9739" width="8.5703125" style="671" customWidth="1"/>
    <col min="9740" max="9984" width="11.42578125" style="671"/>
    <col min="9985" max="9985" width="3" style="671" customWidth="1"/>
    <col min="9986" max="9986" width="6" style="671" customWidth="1"/>
    <col min="9987" max="9987" width="43.5703125" style="671" customWidth="1"/>
    <col min="9988" max="9988" width="13.5703125" style="671" customWidth="1"/>
    <col min="9989" max="9993" width="11.42578125" style="671"/>
    <col min="9994" max="9994" width="10.7109375" style="671" customWidth="1"/>
    <col min="9995" max="9995" width="8.5703125" style="671" customWidth="1"/>
    <col min="9996" max="10240" width="11.42578125" style="671"/>
    <col min="10241" max="10241" width="3" style="671" customWidth="1"/>
    <col min="10242" max="10242" width="6" style="671" customWidth="1"/>
    <col min="10243" max="10243" width="43.5703125" style="671" customWidth="1"/>
    <col min="10244" max="10244" width="13.5703125" style="671" customWidth="1"/>
    <col min="10245" max="10249" width="11.42578125" style="671"/>
    <col min="10250" max="10250" width="10.7109375" style="671" customWidth="1"/>
    <col min="10251" max="10251" width="8.5703125" style="671" customWidth="1"/>
    <col min="10252" max="10496" width="11.42578125" style="671"/>
    <col min="10497" max="10497" width="3" style="671" customWidth="1"/>
    <col min="10498" max="10498" width="6" style="671" customWidth="1"/>
    <col min="10499" max="10499" width="43.5703125" style="671" customWidth="1"/>
    <col min="10500" max="10500" width="13.5703125" style="671" customWidth="1"/>
    <col min="10501" max="10505" width="11.42578125" style="671"/>
    <col min="10506" max="10506" width="10.7109375" style="671" customWidth="1"/>
    <col min="10507" max="10507" width="8.5703125" style="671" customWidth="1"/>
    <col min="10508" max="10752" width="11.42578125" style="671"/>
    <col min="10753" max="10753" width="3" style="671" customWidth="1"/>
    <col min="10754" max="10754" width="6" style="671" customWidth="1"/>
    <col min="10755" max="10755" width="43.5703125" style="671" customWidth="1"/>
    <col min="10756" max="10756" width="13.5703125" style="671" customWidth="1"/>
    <col min="10757" max="10761" width="11.42578125" style="671"/>
    <col min="10762" max="10762" width="10.7109375" style="671" customWidth="1"/>
    <col min="10763" max="10763" width="8.5703125" style="671" customWidth="1"/>
    <col min="10764" max="11008" width="11.42578125" style="671"/>
    <col min="11009" max="11009" width="3" style="671" customWidth="1"/>
    <col min="11010" max="11010" width="6" style="671" customWidth="1"/>
    <col min="11011" max="11011" width="43.5703125" style="671" customWidth="1"/>
    <col min="11012" max="11012" width="13.5703125" style="671" customWidth="1"/>
    <col min="11013" max="11017" width="11.42578125" style="671"/>
    <col min="11018" max="11018" width="10.7109375" style="671" customWidth="1"/>
    <col min="11019" max="11019" width="8.5703125" style="671" customWidth="1"/>
    <col min="11020" max="11264" width="11.42578125" style="671"/>
    <col min="11265" max="11265" width="3" style="671" customWidth="1"/>
    <col min="11266" max="11266" width="6" style="671" customWidth="1"/>
    <col min="11267" max="11267" width="43.5703125" style="671" customWidth="1"/>
    <col min="11268" max="11268" width="13.5703125" style="671" customWidth="1"/>
    <col min="11269" max="11273" width="11.42578125" style="671"/>
    <col min="11274" max="11274" width="10.7109375" style="671" customWidth="1"/>
    <col min="11275" max="11275" width="8.5703125" style="671" customWidth="1"/>
    <col min="11276" max="11520" width="11.42578125" style="671"/>
    <col min="11521" max="11521" width="3" style="671" customWidth="1"/>
    <col min="11522" max="11522" width="6" style="671" customWidth="1"/>
    <col min="11523" max="11523" width="43.5703125" style="671" customWidth="1"/>
    <col min="11524" max="11524" width="13.5703125" style="671" customWidth="1"/>
    <col min="11525" max="11529" width="11.42578125" style="671"/>
    <col min="11530" max="11530" width="10.7109375" style="671" customWidth="1"/>
    <col min="11531" max="11531" width="8.5703125" style="671" customWidth="1"/>
    <col min="11532" max="11776" width="11.42578125" style="671"/>
    <col min="11777" max="11777" width="3" style="671" customWidth="1"/>
    <col min="11778" max="11778" width="6" style="671" customWidth="1"/>
    <col min="11779" max="11779" width="43.5703125" style="671" customWidth="1"/>
    <col min="11780" max="11780" width="13.5703125" style="671" customWidth="1"/>
    <col min="11781" max="11785" width="11.42578125" style="671"/>
    <col min="11786" max="11786" width="10.7109375" style="671" customWidth="1"/>
    <col min="11787" max="11787" width="8.5703125" style="671" customWidth="1"/>
    <col min="11788" max="12032" width="11.42578125" style="671"/>
    <col min="12033" max="12033" width="3" style="671" customWidth="1"/>
    <col min="12034" max="12034" width="6" style="671" customWidth="1"/>
    <col min="12035" max="12035" width="43.5703125" style="671" customWidth="1"/>
    <col min="12036" max="12036" width="13.5703125" style="671" customWidth="1"/>
    <col min="12037" max="12041" width="11.42578125" style="671"/>
    <col min="12042" max="12042" width="10.7109375" style="671" customWidth="1"/>
    <col min="12043" max="12043" width="8.5703125" style="671" customWidth="1"/>
    <col min="12044" max="12288" width="11.42578125" style="671"/>
    <col min="12289" max="12289" width="3" style="671" customWidth="1"/>
    <col min="12290" max="12290" width="6" style="671" customWidth="1"/>
    <col min="12291" max="12291" width="43.5703125" style="671" customWidth="1"/>
    <col min="12292" max="12292" width="13.5703125" style="671" customWidth="1"/>
    <col min="12293" max="12297" width="11.42578125" style="671"/>
    <col min="12298" max="12298" width="10.7109375" style="671" customWidth="1"/>
    <col min="12299" max="12299" width="8.5703125" style="671" customWidth="1"/>
    <col min="12300" max="12544" width="11.42578125" style="671"/>
    <col min="12545" max="12545" width="3" style="671" customWidth="1"/>
    <col min="12546" max="12546" width="6" style="671" customWidth="1"/>
    <col min="12547" max="12547" width="43.5703125" style="671" customWidth="1"/>
    <col min="12548" max="12548" width="13.5703125" style="671" customWidth="1"/>
    <col min="12549" max="12553" width="11.42578125" style="671"/>
    <col min="12554" max="12554" width="10.7109375" style="671" customWidth="1"/>
    <col min="12555" max="12555" width="8.5703125" style="671" customWidth="1"/>
    <col min="12556" max="12800" width="11.42578125" style="671"/>
    <col min="12801" max="12801" width="3" style="671" customWidth="1"/>
    <col min="12802" max="12802" width="6" style="671" customWidth="1"/>
    <col min="12803" max="12803" width="43.5703125" style="671" customWidth="1"/>
    <col min="12804" max="12804" width="13.5703125" style="671" customWidth="1"/>
    <col min="12805" max="12809" width="11.42578125" style="671"/>
    <col min="12810" max="12810" width="10.7109375" style="671" customWidth="1"/>
    <col min="12811" max="12811" width="8.5703125" style="671" customWidth="1"/>
    <col min="12812" max="13056" width="11.42578125" style="671"/>
    <col min="13057" max="13057" width="3" style="671" customWidth="1"/>
    <col min="13058" max="13058" width="6" style="671" customWidth="1"/>
    <col min="13059" max="13059" width="43.5703125" style="671" customWidth="1"/>
    <col min="13060" max="13060" width="13.5703125" style="671" customWidth="1"/>
    <col min="13061" max="13065" width="11.42578125" style="671"/>
    <col min="13066" max="13066" width="10.7109375" style="671" customWidth="1"/>
    <col min="13067" max="13067" width="8.5703125" style="671" customWidth="1"/>
    <col min="13068" max="13312" width="11.42578125" style="671"/>
    <col min="13313" max="13313" width="3" style="671" customWidth="1"/>
    <col min="13314" max="13314" width="6" style="671" customWidth="1"/>
    <col min="13315" max="13315" width="43.5703125" style="671" customWidth="1"/>
    <col min="13316" max="13316" width="13.5703125" style="671" customWidth="1"/>
    <col min="13317" max="13321" width="11.42578125" style="671"/>
    <col min="13322" max="13322" width="10.7109375" style="671" customWidth="1"/>
    <col min="13323" max="13323" width="8.5703125" style="671" customWidth="1"/>
    <col min="13324" max="13568" width="11.42578125" style="671"/>
    <col min="13569" max="13569" width="3" style="671" customWidth="1"/>
    <col min="13570" max="13570" width="6" style="671" customWidth="1"/>
    <col min="13571" max="13571" width="43.5703125" style="671" customWidth="1"/>
    <col min="13572" max="13572" width="13.5703125" style="671" customWidth="1"/>
    <col min="13573" max="13577" width="11.42578125" style="671"/>
    <col min="13578" max="13578" width="10.7109375" style="671" customWidth="1"/>
    <col min="13579" max="13579" width="8.5703125" style="671" customWidth="1"/>
    <col min="13580" max="13824" width="11.42578125" style="671"/>
    <col min="13825" max="13825" width="3" style="671" customWidth="1"/>
    <col min="13826" max="13826" width="6" style="671" customWidth="1"/>
    <col min="13827" max="13827" width="43.5703125" style="671" customWidth="1"/>
    <col min="13828" max="13828" width="13.5703125" style="671" customWidth="1"/>
    <col min="13829" max="13833" width="11.42578125" style="671"/>
    <col min="13834" max="13834" width="10.7109375" style="671" customWidth="1"/>
    <col min="13835" max="13835" width="8.5703125" style="671" customWidth="1"/>
    <col min="13836" max="14080" width="11.42578125" style="671"/>
    <col min="14081" max="14081" width="3" style="671" customWidth="1"/>
    <col min="14082" max="14082" width="6" style="671" customWidth="1"/>
    <col min="14083" max="14083" width="43.5703125" style="671" customWidth="1"/>
    <col min="14084" max="14084" width="13.5703125" style="671" customWidth="1"/>
    <col min="14085" max="14089" width="11.42578125" style="671"/>
    <col min="14090" max="14090" width="10.7109375" style="671" customWidth="1"/>
    <col min="14091" max="14091" width="8.5703125" style="671" customWidth="1"/>
    <col min="14092" max="14336" width="11.42578125" style="671"/>
    <col min="14337" max="14337" width="3" style="671" customWidth="1"/>
    <col min="14338" max="14338" width="6" style="671" customWidth="1"/>
    <col min="14339" max="14339" width="43.5703125" style="671" customWidth="1"/>
    <col min="14340" max="14340" width="13.5703125" style="671" customWidth="1"/>
    <col min="14341" max="14345" width="11.42578125" style="671"/>
    <col min="14346" max="14346" width="10.7109375" style="671" customWidth="1"/>
    <col min="14347" max="14347" width="8.5703125" style="671" customWidth="1"/>
    <col min="14348" max="14592" width="11.42578125" style="671"/>
    <col min="14593" max="14593" width="3" style="671" customWidth="1"/>
    <col min="14594" max="14594" width="6" style="671" customWidth="1"/>
    <col min="14595" max="14595" width="43.5703125" style="671" customWidth="1"/>
    <col min="14596" max="14596" width="13.5703125" style="671" customWidth="1"/>
    <col min="14597" max="14601" width="11.42578125" style="671"/>
    <col min="14602" max="14602" width="10.7109375" style="671" customWidth="1"/>
    <col min="14603" max="14603" width="8.5703125" style="671" customWidth="1"/>
    <col min="14604" max="14848" width="11.42578125" style="671"/>
    <col min="14849" max="14849" width="3" style="671" customWidth="1"/>
    <col min="14850" max="14850" width="6" style="671" customWidth="1"/>
    <col min="14851" max="14851" width="43.5703125" style="671" customWidth="1"/>
    <col min="14852" max="14852" width="13.5703125" style="671" customWidth="1"/>
    <col min="14853" max="14857" width="11.42578125" style="671"/>
    <col min="14858" max="14858" width="10.7109375" style="671" customWidth="1"/>
    <col min="14859" max="14859" width="8.5703125" style="671" customWidth="1"/>
    <col min="14860" max="15104" width="11.42578125" style="671"/>
    <col min="15105" max="15105" width="3" style="671" customWidth="1"/>
    <col min="15106" max="15106" width="6" style="671" customWidth="1"/>
    <col min="15107" max="15107" width="43.5703125" style="671" customWidth="1"/>
    <col min="15108" max="15108" width="13.5703125" style="671" customWidth="1"/>
    <col min="15109" max="15113" width="11.42578125" style="671"/>
    <col min="15114" max="15114" width="10.7109375" style="671" customWidth="1"/>
    <col min="15115" max="15115" width="8.5703125" style="671" customWidth="1"/>
    <col min="15116" max="15360" width="11.42578125" style="671"/>
    <col min="15361" max="15361" width="3" style="671" customWidth="1"/>
    <col min="15362" max="15362" width="6" style="671" customWidth="1"/>
    <col min="15363" max="15363" width="43.5703125" style="671" customWidth="1"/>
    <col min="15364" max="15364" width="13.5703125" style="671" customWidth="1"/>
    <col min="15365" max="15369" width="11.42578125" style="671"/>
    <col min="15370" max="15370" width="10.7109375" style="671" customWidth="1"/>
    <col min="15371" max="15371" width="8.5703125" style="671" customWidth="1"/>
    <col min="15372" max="15616" width="11.42578125" style="671"/>
    <col min="15617" max="15617" width="3" style="671" customWidth="1"/>
    <col min="15618" max="15618" width="6" style="671" customWidth="1"/>
    <col min="15619" max="15619" width="43.5703125" style="671" customWidth="1"/>
    <col min="15620" max="15620" width="13.5703125" style="671" customWidth="1"/>
    <col min="15621" max="15625" width="11.42578125" style="671"/>
    <col min="15626" max="15626" width="10.7109375" style="671" customWidth="1"/>
    <col min="15627" max="15627" width="8.5703125" style="671" customWidth="1"/>
    <col min="15628" max="15872" width="11.42578125" style="671"/>
    <col min="15873" max="15873" width="3" style="671" customWidth="1"/>
    <col min="15874" max="15874" width="6" style="671" customWidth="1"/>
    <col min="15875" max="15875" width="43.5703125" style="671" customWidth="1"/>
    <col min="15876" max="15876" width="13.5703125" style="671" customWidth="1"/>
    <col min="15877" max="15881" width="11.42578125" style="671"/>
    <col min="15882" max="15882" width="10.7109375" style="671" customWidth="1"/>
    <col min="15883" max="15883" width="8.5703125" style="671" customWidth="1"/>
    <col min="15884" max="16128" width="11.42578125" style="671"/>
    <col min="16129" max="16129" width="3" style="671" customWidth="1"/>
    <col min="16130" max="16130" width="6" style="671" customWidth="1"/>
    <col min="16131" max="16131" width="43.5703125" style="671" customWidth="1"/>
    <col min="16132" max="16132" width="13.5703125" style="671" customWidth="1"/>
    <col min="16133" max="16137" width="11.42578125" style="671"/>
    <col min="16138" max="16138" width="10.7109375" style="671" customWidth="1"/>
    <col min="16139" max="16139" width="8.5703125" style="671" customWidth="1"/>
    <col min="16140" max="16384" width="11.42578125" style="671"/>
  </cols>
  <sheetData>
    <row r="1" spans="2:8" x14ac:dyDescent="0.25">
      <c r="B1" s="819" t="s">
        <v>1101</v>
      </c>
    </row>
    <row r="2" spans="2:8" x14ac:dyDescent="0.25">
      <c r="B2" s="819" t="s">
        <v>1102</v>
      </c>
    </row>
    <row r="3" spans="2:8" ht="16.5" thickBot="1" x14ac:dyDescent="0.3">
      <c r="B3" s="819"/>
    </row>
    <row r="4" spans="2:8" ht="16.5" thickBot="1" x14ac:dyDescent="0.3">
      <c r="B4" s="819"/>
      <c r="C4" s="448"/>
      <c r="D4" s="1162"/>
      <c r="E4" s="1163" t="s">
        <v>1103</v>
      </c>
      <c r="F4" s="1164"/>
      <c r="G4" s="1165" t="s">
        <v>1104</v>
      </c>
      <c r="H4" s="1166"/>
    </row>
    <row r="5" spans="2:8" x14ac:dyDescent="0.25">
      <c r="B5" s="819"/>
      <c r="C5" s="1167"/>
      <c r="D5" s="1168" t="s">
        <v>1105</v>
      </c>
      <c r="E5" s="1169" t="s">
        <v>336</v>
      </c>
      <c r="F5" s="1170" t="s">
        <v>417</v>
      </c>
      <c r="G5" s="1169" t="s">
        <v>336</v>
      </c>
      <c r="H5" s="1170" t="s">
        <v>417</v>
      </c>
    </row>
    <row r="6" spans="2:8" x14ac:dyDescent="0.25">
      <c r="B6" s="819"/>
      <c r="C6" s="1171"/>
      <c r="D6" s="1172"/>
      <c r="E6" s="1173" t="s">
        <v>1106</v>
      </c>
      <c r="F6" s="1174" t="s">
        <v>1106</v>
      </c>
      <c r="G6" s="1173" t="s">
        <v>1107</v>
      </c>
      <c r="H6" s="1174" t="s">
        <v>1108</v>
      </c>
    </row>
    <row r="7" spans="2:8" x14ac:dyDescent="0.25">
      <c r="B7" s="819"/>
      <c r="C7" s="1175" t="s">
        <v>868</v>
      </c>
      <c r="D7" s="1176">
        <f>+'[4]COMPARACIONES '!B6</f>
        <v>154</v>
      </c>
      <c r="E7" s="1177">
        <f>+'[4]COMPARACIONES '!F6</f>
        <v>154</v>
      </c>
      <c r="F7" s="1178">
        <f>+'[4]COMPARACIONES '!G6</f>
        <v>149.38366666666667</v>
      </c>
      <c r="G7" s="1179">
        <v>187</v>
      </c>
      <c r="H7" s="1180">
        <v>195.88</v>
      </c>
    </row>
    <row r="8" spans="2:8" x14ac:dyDescent="0.25">
      <c r="B8" s="819"/>
      <c r="C8" s="1175" t="s">
        <v>413</v>
      </c>
      <c r="D8" s="1176">
        <f>+'[4]COMPARACIONES '!B7</f>
        <v>0.94</v>
      </c>
      <c r="E8" s="1177">
        <f>+'[4]COMPARACIONES '!F7</f>
        <v>0.94</v>
      </c>
      <c r="F8" s="1178">
        <f>+'[4]COMPARACIONES '!G7</f>
        <v>0.24666666666666667</v>
      </c>
      <c r="G8" s="1179">
        <v>3</v>
      </c>
      <c r="H8" s="1180">
        <v>14.626666666666667</v>
      </c>
    </row>
    <row r="9" spans="2:8" x14ac:dyDescent="0.25">
      <c r="B9" s="819"/>
      <c r="C9" s="1175" t="s">
        <v>1048</v>
      </c>
      <c r="D9" s="1176">
        <f>+'[4]COMPARACIONES '!B8</f>
        <v>90.349000000000004</v>
      </c>
      <c r="E9" s="1177">
        <f>+'[4]COMPARACIONES '!F8</f>
        <v>101.88</v>
      </c>
      <c r="F9" s="1178">
        <f>+'[4]COMPARACIONES '!G8</f>
        <v>101.205</v>
      </c>
      <c r="G9" s="1179">
        <v>138</v>
      </c>
      <c r="H9" s="1180">
        <v>248.06666666666666</v>
      </c>
    </row>
    <row r="10" spans="2:8" x14ac:dyDescent="0.25">
      <c r="B10" s="819"/>
      <c r="C10" s="1175" t="s">
        <v>396</v>
      </c>
      <c r="D10" s="1176">
        <f>+'[4]COMPARACIONES '!B9</f>
        <v>5.5339999999999998</v>
      </c>
      <c r="E10" s="1177">
        <f>+'[4]COMPARACIONES '!F9</f>
        <v>4.9109999999999996</v>
      </c>
      <c r="F10" s="1178">
        <f>+'[4]COMPARACIONES '!G9</f>
        <v>4.7429999999999994</v>
      </c>
      <c r="G10" s="1179">
        <v>34</v>
      </c>
      <c r="H10" s="1180">
        <v>103.78666666666666</v>
      </c>
    </row>
    <row r="11" spans="2:8" x14ac:dyDescent="0.25">
      <c r="B11" s="819"/>
      <c r="C11" s="1175" t="s">
        <v>1049</v>
      </c>
      <c r="D11" s="1176">
        <f>+'[4]COMPARACIONES '!B10</f>
        <v>1.04</v>
      </c>
      <c r="E11" s="1177">
        <f>+'[4]COMPARACIONES '!F10</f>
        <v>1.04</v>
      </c>
      <c r="F11" s="1178">
        <f>+'[4]COMPARACIONES '!G10</f>
        <v>0.32333333333333342</v>
      </c>
      <c r="G11" s="1181">
        <v>2.0408163265306121E-2</v>
      </c>
      <c r="H11" s="1182">
        <v>2.4232994594480865E-2</v>
      </c>
    </row>
    <row r="12" spans="2:8" x14ac:dyDescent="0.25">
      <c r="B12" s="819"/>
      <c r="C12" s="1175" t="s">
        <v>1050</v>
      </c>
      <c r="D12" s="1176">
        <f>+'[4]COMPARACIONES '!B11</f>
        <v>16.989999999999998</v>
      </c>
      <c r="E12" s="1177">
        <f>+'[4]COMPARACIONES '!F11</f>
        <v>16.989999999999998</v>
      </c>
      <c r="F12" s="1178">
        <f>+'[4]COMPARACIONES '!G11</f>
        <v>1.073333333333333</v>
      </c>
      <c r="G12" s="1181">
        <v>0.16666666666666666</v>
      </c>
      <c r="H12" s="1182">
        <v>0.30916753622388699</v>
      </c>
    </row>
    <row r="13" spans="2:8" x14ac:dyDescent="0.25">
      <c r="B13" s="819"/>
      <c r="C13" s="1175" t="s">
        <v>1051</v>
      </c>
      <c r="D13" s="1176">
        <f>+'[4]COMPARACIONES '!B12</f>
        <v>15.326165522226239</v>
      </c>
      <c r="E13" s="1177">
        <f>+'[4]COMPARACIONES '!F12</f>
        <v>19.745265729993893</v>
      </c>
      <c r="F13" s="1178">
        <f>+'[4]COMPARACIONES '!G12</f>
        <v>21.169159254616012</v>
      </c>
      <c r="G13" s="1179">
        <v>2.62</v>
      </c>
      <c r="H13" s="1180">
        <v>3.61</v>
      </c>
    </row>
    <row r="14" spans="2:8" x14ac:dyDescent="0.25">
      <c r="B14" s="819"/>
      <c r="C14" s="1175" t="s">
        <v>80</v>
      </c>
      <c r="D14" s="1176">
        <f>+'[4]COMPARACIONES '!B13</f>
        <v>8.0960000000000001</v>
      </c>
      <c r="E14" s="1177">
        <f>+'[4]COMPARACIONES '!F13</f>
        <v>8.0960000000000001</v>
      </c>
      <c r="F14" s="1178">
        <f>+'[4]COMPARACIONES '!G13</f>
        <v>7.9470000000000001</v>
      </c>
      <c r="G14" s="1179">
        <v>9</v>
      </c>
      <c r="H14" s="1180">
        <v>33</v>
      </c>
    </row>
    <row r="15" spans="2:8" ht="16.5" thickBot="1" x14ac:dyDescent="0.3">
      <c r="B15" s="819"/>
      <c r="C15" s="1183" t="s">
        <v>404</v>
      </c>
      <c r="D15" s="1184">
        <f>+'[4]COMPARACIONES '!B14</f>
        <v>2</v>
      </c>
      <c r="E15" s="1185">
        <f>+'[4]COMPARACIONES '!F14</f>
        <v>2</v>
      </c>
      <c r="F15" s="1186">
        <f>+'[4]COMPARACIONES '!G14</f>
        <v>2</v>
      </c>
      <c r="G15" s="1187">
        <v>2</v>
      </c>
      <c r="H15" s="1188">
        <v>2.1643835616438358</v>
      </c>
    </row>
    <row r="16" spans="2:8" x14ac:dyDescent="0.25">
      <c r="B16" s="819"/>
    </row>
    <row r="17" spans="1:9" ht="16.5" thickBot="1" x14ac:dyDescent="0.3">
      <c r="B17" s="819"/>
    </row>
    <row r="18" spans="1:9" x14ac:dyDescent="0.25">
      <c r="A18" s="1251"/>
      <c r="B18" s="1249"/>
      <c r="C18" s="1250"/>
      <c r="D18" s="1251"/>
      <c r="E18" s="1250"/>
      <c r="F18" s="1253"/>
      <c r="G18" s="1250"/>
      <c r="H18" s="1250"/>
      <c r="I18" s="1253"/>
    </row>
    <row r="19" spans="1:9" ht="16.5" thickBot="1" x14ac:dyDescent="0.3">
      <c r="A19" s="935"/>
      <c r="B19" s="1258" t="s">
        <v>1192</v>
      </c>
      <c r="C19" s="936"/>
      <c r="D19" s="935"/>
      <c r="E19" s="936" t="s">
        <v>1109</v>
      </c>
      <c r="F19" s="1259"/>
      <c r="G19" s="936"/>
      <c r="H19" s="936" t="s">
        <v>1110</v>
      </c>
      <c r="I19" s="1255"/>
    </row>
    <row r="20" spans="1:9" x14ac:dyDescent="0.25">
      <c r="A20" s="1161">
        <v>1</v>
      </c>
      <c r="B20" s="728" t="s">
        <v>1111</v>
      </c>
      <c r="C20" s="728"/>
      <c r="D20" s="1191"/>
      <c r="E20" s="728"/>
      <c r="F20" s="1192"/>
      <c r="G20" s="1161"/>
      <c r="H20" s="728"/>
      <c r="I20" s="1086"/>
    </row>
    <row r="21" spans="1:9" ht="16.5" thickBot="1" x14ac:dyDescent="0.3">
      <c r="A21" s="766"/>
      <c r="B21" s="768"/>
      <c r="C21" s="768" t="s">
        <v>1112</v>
      </c>
      <c r="D21" s="1193"/>
      <c r="E21" s="1194"/>
      <c r="F21" s="1195">
        <f>+'[4]COMPARACIONES '!B9</f>
        <v>5.5339999999999998</v>
      </c>
      <c r="G21" s="766"/>
      <c r="H21" s="768"/>
      <c r="I21" s="1196">
        <f>+'[4]COMPARACIONES '!B23</f>
        <v>34</v>
      </c>
    </row>
    <row r="22" spans="1:9" x14ac:dyDescent="0.25">
      <c r="A22" s="1161">
        <v>2</v>
      </c>
      <c r="B22" s="728" t="s">
        <v>1113</v>
      </c>
      <c r="C22" s="728"/>
      <c r="D22" s="1191"/>
      <c r="E22" s="1197"/>
      <c r="F22" s="1198"/>
      <c r="G22" s="1161"/>
      <c r="H22" s="728"/>
      <c r="I22" s="1086"/>
    </row>
    <row r="23" spans="1:9" x14ac:dyDescent="0.25">
      <c r="A23" s="766"/>
      <c r="B23" s="768"/>
      <c r="C23" s="768" t="s">
        <v>1114</v>
      </c>
      <c r="D23" s="1193"/>
      <c r="E23" s="1194"/>
      <c r="F23" s="1195">
        <f>+F21</f>
        <v>5.5339999999999998</v>
      </c>
      <c r="G23" s="766"/>
      <c r="H23" s="768"/>
      <c r="I23" s="1196">
        <f>+I21</f>
        <v>34</v>
      </c>
    </row>
    <row r="24" spans="1:9" ht="16.5" thickBot="1" x14ac:dyDescent="0.3">
      <c r="A24" s="766"/>
      <c r="B24" s="768"/>
      <c r="C24" s="768" t="s">
        <v>1115</v>
      </c>
      <c r="D24" s="1193"/>
      <c r="E24" s="1194"/>
      <c r="F24" s="1199"/>
      <c r="G24" s="766"/>
      <c r="H24" s="768"/>
      <c r="I24" s="763"/>
    </row>
    <row r="25" spans="1:9" x14ac:dyDescent="0.25">
      <c r="A25" s="1161">
        <v>3</v>
      </c>
      <c r="B25" s="728" t="s">
        <v>1116</v>
      </c>
      <c r="C25" s="728"/>
      <c r="D25" s="1191"/>
      <c r="E25" s="1197"/>
      <c r="F25" s="1198"/>
      <c r="G25" s="1161"/>
      <c r="H25" s="728"/>
      <c r="I25" s="1086"/>
    </row>
    <row r="26" spans="1:9" x14ac:dyDescent="0.25">
      <c r="A26" s="766"/>
      <c r="B26" s="768"/>
      <c r="C26" s="768" t="s">
        <v>1117</v>
      </c>
      <c r="D26" s="1193"/>
      <c r="E26" s="1194"/>
      <c r="F26" s="1199"/>
      <c r="G26" s="766"/>
      <c r="H26" s="768"/>
      <c r="I26" s="763"/>
    </row>
    <row r="27" spans="1:9" ht="16.5" thickBot="1" x14ac:dyDescent="0.3">
      <c r="A27" s="1013"/>
      <c r="B27" s="1157"/>
      <c r="C27" s="1157" t="s">
        <v>1118</v>
      </c>
      <c r="D27" s="1200"/>
      <c r="E27" s="1201"/>
      <c r="F27" s="1202"/>
      <c r="G27" s="1013"/>
      <c r="H27" s="1157"/>
      <c r="I27" s="1190"/>
    </row>
    <row r="28" spans="1:9" x14ac:dyDescent="0.25">
      <c r="A28" s="766">
        <v>4</v>
      </c>
      <c r="B28" s="728" t="s">
        <v>1119</v>
      </c>
      <c r="C28" s="728"/>
      <c r="D28" s="1191"/>
      <c r="E28" s="1197"/>
      <c r="F28" s="1198"/>
      <c r="G28" s="1161"/>
      <c r="H28" s="728"/>
      <c r="I28" s="1086"/>
    </row>
    <row r="29" spans="1:9" x14ac:dyDescent="0.25">
      <c r="A29" s="766"/>
      <c r="B29" s="768"/>
      <c r="C29" s="768" t="s">
        <v>1120</v>
      </c>
      <c r="D29" s="1193"/>
      <c r="E29" s="1194"/>
      <c r="F29" s="1199"/>
      <c r="G29" s="766"/>
      <c r="H29" s="768"/>
      <c r="I29" s="763"/>
    </row>
    <row r="30" spans="1:9" x14ac:dyDescent="0.25">
      <c r="A30" s="766"/>
      <c r="B30" s="768"/>
      <c r="C30" s="768" t="s">
        <v>1121</v>
      </c>
      <c r="D30" s="1193"/>
      <c r="E30" s="1194"/>
      <c r="F30" s="1195">
        <f>+'[4]COMPARACIONES '!F8</f>
        <v>101.88</v>
      </c>
      <c r="G30" s="766"/>
      <c r="H30" s="768"/>
      <c r="I30" s="1196">
        <f>+'[4]COMPARACIONES '!B22</f>
        <v>138</v>
      </c>
    </row>
    <row r="31" spans="1:9" x14ac:dyDescent="0.25">
      <c r="A31" s="766"/>
      <c r="B31" s="768"/>
      <c r="C31" s="768" t="s">
        <v>1122</v>
      </c>
      <c r="D31" s="1193"/>
      <c r="E31" s="1194"/>
      <c r="F31" s="1195">
        <f>+F21</f>
        <v>5.5339999999999998</v>
      </c>
      <c r="G31" s="766"/>
      <c r="H31" s="768"/>
      <c r="I31" s="1196">
        <f>+'[4]METODOS VALORACIÓN '!I23</f>
        <v>34</v>
      </c>
    </row>
    <row r="32" spans="1:9" ht="16.5" thickBot="1" x14ac:dyDescent="0.3">
      <c r="A32" s="1013"/>
      <c r="B32" s="1157"/>
      <c r="C32" s="1157" t="s">
        <v>1123</v>
      </c>
      <c r="D32" s="1200"/>
      <c r="E32" s="1203"/>
      <c r="F32" s="1204">
        <f>(+'[4]MYM M&amp;M'!C14-'[4]MYM M&amp;M'!C23)</f>
        <v>87.114999999999995</v>
      </c>
      <c r="G32" s="1013"/>
      <c r="H32" s="1157"/>
      <c r="I32" s="1205">
        <f>+I30-I31</f>
        <v>104</v>
      </c>
    </row>
    <row r="33" spans="1:9" ht="16.5" thickBot="1" x14ac:dyDescent="0.3">
      <c r="F33" s="761"/>
    </row>
    <row r="34" spans="1:9" x14ac:dyDescent="0.25">
      <c r="A34" s="1244"/>
      <c r="B34" s="1249" t="s">
        <v>1193</v>
      </c>
      <c r="C34" s="1243"/>
      <c r="D34" s="1244"/>
      <c r="E34" s="1243" t="s">
        <v>1109</v>
      </c>
      <c r="F34" s="1256"/>
      <c r="G34" s="1243"/>
      <c r="H34" s="1243" t="s">
        <v>1110</v>
      </c>
      <c r="I34" s="1245"/>
    </row>
    <row r="35" spans="1:9" ht="16.5" thickBot="1" x14ac:dyDescent="0.3">
      <c r="A35" s="1247"/>
      <c r="B35" s="1246"/>
      <c r="C35" s="1246"/>
      <c r="D35" s="1247"/>
      <c r="E35" s="1246"/>
      <c r="F35" s="1257"/>
      <c r="G35" s="1246"/>
      <c r="H35" s="1246"/>
      <c r="I35" s="1248"/>
    </row>
    <row r="36" spans="1:9" x14ac:dyDescent="0.25">
      <c r="A36" s="766">
        <v>1</v>
      </c>
      <c r="B36" s="768" t="s">
        <v>1124</v>
      </c>
      <c r="C36" s="1207" t="s">
        <v>1125</v>
      </c>
      <c r="D36" s="766"/>
      <c r="E36" s="768" t="s">
        <v>1126</v>
      </c>
      <c r="F36" s="1208"/>
      <c r="G36" s="768"/>
      <c r="H36" s="768" t="s">
        <v>1126</v>
      </c>
      <c r="I36" s="763"/>
    </row>
    <row r="37" spans="1:9" x14ac:dyDescent="0.25">
      <c r="A37" s="766"/>
      <c r="B37" s="768"/>
      <c r="C37" s="768" t="s">
        <v>1105</v>
      </c>
      <c r="D37" s="1209">
        <f>+'[4]MYM M&amp;M'!B51</f>
        <v>1.032</v>
      </c>
      <c r="E37" s="768">
        <v>5</v>
      </c>
      <c r="F37" s="1195">
        <f>+D37*E37</f>
        <v>5.16</v>
      </c>
      <c r="G37" s="1210">
        <f>+'[4]DATOS 20'!C26</f>
        <v>7.5</v>
      </c>
      <c r="H37" s="768">
        <v>5</v>
      </c>
      <c r="I37" s="1196">
        <f>+G37*H37</f>
        <v>37.5</v>
      </c>
    </row>
    <row r="38" spans="1:9" x14ac:dyDescent="0.25">
      <c r="A38" s="766"/>
      <c r="B38" s="768"/>
      <c r="C38" s="768" t="s">
        <v>1127</v>
      </c>
      <c r="D38" s="1209">
        <f>+'[4]COMPARACIONES '!F7</f>
        <v>0.94</v>
      </c>
      <c r="E38" s="768">
        <v>5</v>
      </c>
      <c r="F38" s="1195">
        <f>+D38*E38</f>
        <v>4.6999999999999993</v>
      </c>
      <c r="G38" s="1210">
        <f>+'[4]COMPARACIONES '!B21</f>
        <v>3</v>
      </c>
      <c r="H38" s="768">
        <v>5</v>
      </c>
      <c r="I38" s="1196">
        <f>+G38*H38</f>
        <v>15</v>
      </c>
    </row>
    <row r="39" spans="1:9" x14ac:dyDescent="0.25">
      <c r="A39" s="766"/>
      <c r="B39" s="768"/>
      <c r="C39" s="768" t="s">
        <v>1128</v>
      </c>
      <c r="D39" s="1209">
        <f>+'[4]COMPARACIONES '!G7</f>
        <v>0.24666666666666667</v>
      </c>
      <c r="E39" s="768">
        <v>5</v>
      </c>
      <c r="F39" s="1195">
        <f>+D39*E39</f>
        <v>1.2333333333333334</v>
      </c>
      <c r="G39" s="1210">
        <f>+'[4]COMPARACIONES '!C21</f>
        <v>14.626666666666667</v>
      </c>
      <c r="H39" s="768">
        <v>5</v>
      </c>
      <c r="I39" s="1196">
        <f>+G39*H39</f>
        <v>73.13333333333334</v>
      </c>
    </row>
    <row r="40" spans="1:9" x14ac:dyDescent="0.25">
      <c r="A40" s="766"/>
      <c r="B40" s="768"/>
      <c r="C40" s="768"/>
      <c r="D40" s="1211"/>
      <c r="E40" s="768"/>
      <c r="F40" s="1195"/>
      <c r="G40" s="768"/>
      <c r="H40" s="768"/>
      <c r="I40" s="763"/>
    </row>
    <row r="41" spans="1:9" x14ac:dyDescent="0.25">
      <c r="A41" s="766">
        <v>2</v>
      </c>
      <c r="B41" s="768"/>
      <c r="C41" s="1207" t="s">
        <v>1129</v>
      </c>
      <c r="D41" s="1211"/>
      <c r="E41" s="768" t="s">
        <v>1126</v>
      </c>
      <c r="F41" s="1195"/>
      <c r="G41" s="768"/>
      <c r="H41" s="768" t="s">
        <v>1126</v>
      </c>
      <c r="I41" s="763"/>
    </row>
    <row r="42" spans="1:9" x14ac:dyDescent="0.25">
      <c r="A42" s="766"/>
      <c r="B42" s="768"/>
      <c r="C42" s="768" t="s">
        <v>1105</v>
      </c>
      <c r="D42" s="1209">
        <f>+'[4]COMPARACIONES '!B6</f>
        <v>154</v>
      </c>
      <c r="E42" s="768">
        <v>2</v>
      </c>
      <c r="F42" s="1195">
        <f>+D42*E42</f>
        <v>308</v>
      </c>
      <c r="G42" s="1210">
        <f>+'[4]DATOS 20'!B27</f>
        <v>203.3</v>
      </c>
      <c r="H42" s="768">
        <v>2</v>
      </c>
      <c r="I42" s="1196">
        <f>+G42*H42</f>
        <v>406.6</v>
      </c>
    </row>
    <row r="43" spans="1:9" x14ac:dyDescent="0.25">
      <c r="A43" s="766"/>
      <c r="B43" s="768"/>
      <c r="C43" s="768" t="s">
        <v>1127</v>
      </c>
      <c r="D43" s="1209">
        <f>+'[4]COMPARACIONES '!F6</f>
        <v>154</v>
      </c>
      <c r="E43" s="768">
        <v>2</v>
      </c>
      <c r="F43" s="1195">
        <f>+D43*E43</f>
        <v>308</v>
      </c>
      <c r="G43" s="1210">
        <f>+'[4]MYM DATOS 20'!C86</f>
        <v>187</v>
      </c>
      <c r="H43" s="768">
        <v>2</v>
      </c>
      <c r="I43" s="1196">
        <f>+G43*H43</f>
        <v>374</v>
      </c>
    </row>
    <row r="44" spans="1:9" x14ac:dyDescent="0.25">
      <c r="A44" s="766"/>
      <c r="B44" s="768"/>
      <c r="C44" s="768" t="s">
        <v>1128</v>
      </c>
      <c r="D44" s="1209">
        <f>+'[4]COMPARACIONES '!G6</f>
        <v>149.38366666666667</v>
      </c>
      <c r="E44" s="768">
        <v>2</v>
      </c>
      <c r="F44" s="1195">
        <f>+D44*E44</f>
        <v>298.76733333333334</v>
      </c>
      <c r="G44" s="1210">
        <f>+'[4]MYM DATOS 20'!C87</f>
        <v>195.88</v>
      </c>
      <c r="H44" s="768">
        <v>2</v>
      </c>
      <c r="I44" s="1196">
        <f>+G44*H44</f>
        <v>391.76</v>
      </c>
    </row>
    <row r="45" spans="1:9" x14ac:dyDescent="0.25">
      <c r="A45" s="766"/>
      <c r="B45" s="768"/>
      <c r="C45" s="768"/>
      <c r="D45" s="1209"/>
      <c r="E45" s="768"/>
      <c r="F45" s="1195"/>
      <c r="G45" s="768"/>
      <c r="H45" s="768"/>
      <c r="I45" s="763"/>
    </row>
    <row r="46" spans="1:9" x14ac:dyDescent="0.25">
      <c r="A46" s="766">
        <v>3</v>
      </c>
      <c r="B46" s="768"/>
      <c r="C46" s="1207" t="s">
        <v>80</v>
      </c>
      <c r="D46" s="1209"/>
      <c r="E46" s="768" t="s">
        <v>1126</v>
      </c>
      <c r="F46" s="1195"/>
      <c r="G46" s="768"/>
      <c r="H46" s="768" t="s">
        <v>1126</v>
      </c>
      <c r="I46" s="763"/>
    </row>
    <row r="47" spans="1:9" x14ac:dyDescent="0.25">
      <c r="A47" s="766"/>
      <c r="B47" s="768"/>
      <c r="C47" s="768" t="s">
        <v>1105</v>
      </c>
      <c r="D47" s="1209">
        <f>+'[4]COMPARACIONES '!B13</f>
        <v>8.0960000000000001</v>
      </c>
      <c r="E47" s="768">
        <v>3.5</v>
      </c>
      <c r="F47" s="1195">
        <f>+D47*E47</f>
        <v>28.335999999999999</v>
      </c>
      <c r="G47" s="1210">
        <f>+'[4]DATOS 20'!F55</f>
        <v>28.039285714285722</v>
      </c>
      <c r="H47" s="768">
        <v>3.5</v>
      </c>
      <c r="I47" s="1196">
        <f>+G47*H47</f>
        <v>98.137500000000031</v>
      </c>
    </row>
    <row r="48" spans="1:9" x14ac:dyDescent="0.25">
      <c r="A48" s="766"/>
      <c r="B48" s="768"/>
      <c r="C48" s="768" t="s">
        <v>1127</v>
      </c>
      <c r="D48" s="1209">
        <f>+'[4]COMPARACIONES '!F13</f>
        <v>8.0960000000000001</v>
      </c>
      <c r="E48" s="768">
        <v>3.5</v>
      </c>
      <c r="F48" s="1195">
        <f>+D48*E48</f>
        <v>28.335999999999999</v>
      </c>
      <c r="G48" s="1210">
        <f>+'[4]DATOS 20'!F111</f>
        <v>8.6071428571428577</v>
      </c>
      <c r="H48" s="768">
        <v>3.5</v>
      </c>
      <c r="I48" s="1196">
        <f>+G48*H48</f>
        <v>30.125</v>
      </c>
    </row>
    <row r="49" spans="1:11" x14ac:dyDescent="0.25">
      <c r="A49" s="766"/>
      <c r="B49" s="768"/>
      <c r="C49" s="768" t="s">
        <v>1128</v>
      </c>
      <c r="D49" s="1209">
        <f>+'[4]COMPARACIONES '!G13</f>
        <v>7.9470000000000001</v>
      </c>
      <c r="E49" s="768">
        <v>3.5</v>
      </c>
      <c r="F49" s="1195">
        <f>+D49*E49</f>
        <v>27.814499999999999</v>
      </c>
      <c r="G49" s="1210">
        <f>+'[4]DATOS 20'!F112</f>
        <v>33.11</v>
      </c>
      <c r="H49" s="768">
        <v>3.5</v>
      </c>
      <c r="I49" s="1196">
        <f>+G49*H49</f>
        <v>115.88499999999999</v>
      </c>
    </row>
    <row r="50" spans="1:11" ht="16.5" thickBot="1" x14ac:dyDescent="0.3">
      <c r="A50" s="1013"/>
      <c r="B50" s="1157"/>
      <c r="C50" s="1157"/>
      <c r="D50" s="1013"/>
      <c r="E50" s="1157"/>
      <c r="F50" s="1206"/>
      <c r="G50" s="1157"/>
      <c r="H50" s="1157"/>
      <c r="I50" s="1190"/>
    </row>
    <row r="51" spans="1:11" ht="16.5" thickBot="1" x14ac:dyDescent="0.3">
      <c r="A51" s="768"/>
      <c r="B51" s="768"/>
      <c r="C51" s="768"/>
      <c r="D51" s="768"/>
      <c r="E51" s="768"/>
      <c r="F51" s="1212"/>
      <c r="G51" s="768"/>
      <c r="H51" s="768"/>
      <c r="I51" s="768"/>
    </row>
    <row r="52" spans="1:11" x14ac:dyDescent="0.25">
      <c r="A52" s="1244"/>
      <c r="B52" s="1249" t="s">
        <v>1130</v>
      </c>
      <c r="C52" s="1250"/>
      <c r="D52" s="1251"/>
      <c r="E52" s="1250" t="s">
        <v>1109</v>
      </c>
      <c r="F52" s="1252"/>
      <c r="G52" s="1253"/>
      <c r="H52" s="1251"/>
      <c r="I52" s="1250" t="s">
        <v>1110</v>
      </c>
      <c r="J52" s="1250"/>
      <c r="K52" s="1253"/>
    </row>
    <row r="53" spans="1:11" ht="16.5" thickBot="1" x14ac:dyDescent="0.3">
      <c r="A53" s="1247"/>
      <c r="B53" s="1258" t="s">
        <v>1131</v>
      </c>
      <c r="C53" s="936"/>
      <c r="D53" s="935"/>
      <c r="E53" s="936"/>
      <c r="F53" s="1254"/>
      <c r="G53" s="1255"/>
      <c r="H53" s="935"/>
      <c r="I53" s="936"/>
      <c r="J53" s="936"/>
      <c r="K53" s="1255"/>
    </row>
    <row r="54" spans="1:11" x14ac:dyDescent="0.25">
      <c r="A54" s="1161">
        <v>1</v>
      </c>
      <c r="B54" s="728"/>
      <c r="C54" s="1189" t="s">
        <v>1132</v>
      </c>
      <c r="D54" s="1215" t="s">
        <v>1133</v>
      </c>
      <c r="E54" s="727" t="s">
        <v>1134</v>
      </c>
      <c r="F54" s="1216" t="s">
        <v>1135</v>
      </c>
      <c r="G54" s="729"/>
      <c r="H54" s="1215" t="s">
        <v>1133</v>
      </c>
      <c r="I54" s="727" t="s">
        <v>1134</v>
      </c>
      <c r="J54" s="1216" t="s">
        <v>1135</v>
      </c>
      <c r="K54" s="1217"/>
    </row>
    <row r="55" spans="1:11" x14ac:dyDescent="0.25">
      <c r="A55" s="766"/>
      <c r="B55" s="768" t="s">
        <v>1136</v>
      </c>
      <c r="C55" s="768" t="s">
        <v>1137</v>
      </c>
      <c r="D55" s="1211">
        <f>+'[4]COMPARACIONES '!B8</f>
        <v>90.349000000000004</v>
      </c>
      <c r="E55" s="762">
        <v>3</v>
      </c>
      <c r="F55" s="1218">
        <f>+'[4]COMPARACIONES '!B7</f>
        <v>0.94</v>
      </c>
      <c r="G55" s="1199">
        <f>+D55+(E55*F55)</f>
        <v>93.168999999999997</v>
      </c>
      <c r="H55" s="1211">
        <f>+'[4]DATOS 20'!D27</f>
        <v>298.75</v>
      </c>
      <c r="I55" s="762">
        <v>3</v>
      </c>
      <c r="J55" s="1218">
        <f>+'[4]DATOS 20'!C27</f>
        <v>21.3</v>
      </c>
      <c r="K55" s="1199">
        <f>+H55+(I55*J55)</f>
        <v>362.65</v>
      </c>
    </row>
    <row r="56" spans="1:11" x14ac:dyDescent="0.25">
      <c r="A56" s="766"/>
      <c r="B56" s="768" t="s">
        <v>1138</v>
      </c>
      <c r="C56" s="768" t="s">
        <v>1139</v>
      </c>
      <c r="D56" s="1211">
        <f>+D55</f>
        <v>90.349000000000004</v>
      </c>
      <c r="E56" s="762">
        <v>1.2</v>
      </c>
      <c r="F56" s="1218">
        <f>+'[4]COMPARACIONES '!B6</f>
        <v>154</v>
      </c>
      <c r="G56" s="1199">
        <f>+D56+(E56*F56)</f>
        <v>275.149</v>
      </c>
      <c r="H56" s="1211">
        <f>+H55</f>
        <v>298.75</v>
      </c>
      <c r="I56" s="762">
        <v>1.2</v>
      </c>
      <c r="J56" s="1218">
        <f>+'[4]DATOS 20'!B27</f>
        <v>203.3</v>
      </c>
      <c r="K56" s="1199">
        <f>+H56+(I56*J56)</f>
        <v>542.71</v>
      </c>
    </row>
    <row r="57" spans="1:11" ht="16.5" thickBot="1" x14ac:dyDescent="0.3">
      <c r="A57" s="1013"/>
      <c r="B57" s="1157"/>
      <c r="C57" s="1157"/>
      <c r="D57" s="1013"/>
      <c r="E57" s="1157"/>
      <c r="F57" s="1214"/>
      <c r="G57" s="1190"/>
      <c r="H57" s="1013"/>
      <c r="I57" s="1157"/>
      <c r="J57" s="1157"/>
      <c r="K57" s="1190"/>
    </row>
    <row r="58" spans="1:11" x14ac:dyDescent="0.25">
      <c r="A58" s="1161">
        <v>2</v>
      </c>
      <c r="B58" s="728"/>
      <c r="C58" s="1189" t="s">
        <v>1140</v>
      </c>
      <c r="D58" s="1161"/>
      <c r="E58" s="728"/>
      <c r="F58" s="1213"/>
      <c r="G58" s="1086"/>
      <c r="H58" s="1161"/>
      <c r="I58" s="728"/>
      <c r="J58" s="728"/>
      <c r="K58" s="1086"/>
    </row>
    <row r="59" spans="1:11" x14ac:dyDescent="0.25">
      <c r="A59" s="766"/>
      <c r="B59" s="768"/>
      <c r="C59" s="1207" t="s">
        <v>1141</v>
      </c>
      <c r="D59" s="766"/>
      <c r="E59" s="768"/>
      <c r="F59" s="808" t="s">
        <v>1142</v>
      </c>
      <c r="G59" s="763"/>
      <c r="H59" s="766"/>
      <c r="I59" s="768"/>
      <c r="J59" s="808" t="s">
        <v>1142</v>
      </c>
      <c r="K59" s="763"/>
    </row>
    <row r="60" spans="1:11" x14ac:dyDescent="0.25">
      <c r="A60" s="766"/>
      <c r="B60" s="768"/>
      <c r="C60" s="768"/>
      <c r="D60" s="766"/>
      <c r="E60" s="768"/>
      <c r="F60" s="808" t="s">
        <v>1143</v>
      </c>
      <c r="G60" s="763"/>
      <c r="H60" s="766"/>
      <c r="I60" s="768"/>
      <c r="J60" s="808" t="s">
        <v>1144</v>
      </c>
      <c r="K60" s="763"/>
    </row>
    <row r="61" spans="1:11" x14ac:dyDescent="0.25">
      <c r="A61" s="766"/>
      <c r="B61" s="768"/>
      <c r="C61" s="768" t="s">
        <v>1145</v>
      </c>
      <c r="D61" s="766"/>
      <c r="E61" s="768"/>
      <c r="F61" s="1219">
        <v>0.05</v>
      </c>
      <c r="G61" s="763"/>
      <c r="H61" s="766"/>
      <c r="I61" s="768"/>
      <c r="J61" s="1219">
        <v>0.05</v>
      </c>
      <c r="K61" s="763"/>
    </row>
    <row r="62" spans="1:11" x14ac:dyDescent="0.25">
      <c r="A62" s="766"/>
      <c r="B62" s="768" t="s">
        <v>566</v>
      </c>
      <c r="C62" s="768" t="s">
        <v>1133</v>
      </c>
      <c r="D62" s="1209">
        <f>+D56</f>
        <v>90.349000000000004</v>
      </c>
      <c r="E62" s="768"/>
      <c r="F62" s="1212" t="s">
        <v>1146</v>
      </c>
      <c r="G62" s="763"/>
      <c r="H62" s="1209">
        <f>+H55</f>
        <v>298.75</v>
      </c>
      <c r="I62" s="768"/>
      <c r="J62" s="1212" t="s">
        <v>1146</v>
      </c>
      <c r="K62" s="763"/>
    </row>
    <row r="63" spans="1:11" x14ac:dyDescent="0.25">
      <c r="A63" s="766"/>
      <c r="B63" s="768"/>
      <c r="C63" s="768"/>
      <c r="D63" s="1220" t="s">
        <v>1147</v>
      </c>
      <c r="E63" s="768" t="s">
        <v>1148</v>
      </c>
      <c r="F63" s="1212"/>
      <c r="G63" s="763"/>
      <c r="H63" s="1211"/>
      <c r="I63" s="768"/>
      <c r="J63" s="1212"/>
      <c r="K63" s="763"/>
    </row>
    <row r="64" spans="1:11" x14ac:dyDescent="0.25">
      <c r="A64" s="766"/>
      <c r="B64" s="768" t="s">
        <v>568</v>
      </c>
      <c r="C64" s="768" t="s">
        <v>1149</v>
      </c>
      <c r="D64" s="1209">
        <v>2</v>
      </c>
      <c r="E64" s="1221">
        <f>+$D$62*$F$61</f>
        <v>4.5174500000000002</v>
      </c>
      <c r="F64" s="1128">
        <f>+D64-E64</f>
        <v>-2.5174500000000002</v>
      </c>
      <c r="G64" s="763"/>
      <c r="H64" s="1211">
        <v>10</v>
      </c>
      <c r="I64" s="1221">
        <f>+$H$62*$F$61</f>
        <v>14.9375</v>
      </c>
      <c r="J64" s="1128">
        <f>+H64-I64</f>
        <v>-4.9375</v>
      </c>
      <c r="K64" s="763"/>
    </row>
    <row r="65" spans="1:11" x14ac:dyDescent="0.25">
      <c r="A65" s="766"/>
      <c r="B65" s="768"/>
      <c r="C65" s="768" t="s">
        <v>1150</v>
      </c>
      <c r="D65" s="1209">
        <f>+D64</f>
        <v>2</v>
      </c>
      <c r="E65" s="1221">
        <f>+$D$62*$F$61</f>
        <v>4.5174500000000002</v>
      </c>
      <c r="F65" s="1128">
        <f>+D65-E65</f>
        <v>-2.5174500000000002</v>
      </c>
      <c r="G65" s="763"/>
      <c r="H65" s="1211">
        <f>+H64</f>
        <v>10</v>
      </c>
      <c r="I65" s="1221">
        <f>+$H$62*$F$61</f>
        <v>14.9375</v>
      </c>
      <c r="J65" s="1128">
        <f>+H65-I65</f>
        <v>-4.9375</v>
      </c>
      <c r="K65" s="763"/>
    </row>
    <row r="66" spans="1:11" x14ac:dyDescent="0.25">
      <c r="A66" s="766"/>
      <c r="B66" s="768"/>
      <c r="C66" s="768" t="s">
        <v>1151</v>
      </c>
      <c r="D66" s="1209">
        <f>+D65</f>
        <v>2</v>
      </c>
      <c r="E66" s="1221">
        <f>+$D$62*$F$61</f>
        <v>4.5174500000000002</v>
      </c>
      <c r="F66" s="1128">
        <f>+D66-E66</f>
        <v>-2.5174500000000002</v>
      </c>
      <c r="G66" s="763"/>
      <c r="H66" s="1211">
        <f>+H65</f>
        <v>10</v>
      </c>
      <c r="I66" s="1221">
        <f>+$H$62*$F$61</f>
        <v>14.9375</v>
      </c>
      <c r="J66" s="1128">
        <f>+H66-I66</f>
        <v>-4.9375</v>
      </c>
      <c r="K66" s="763"/>
    </row>
    <row r="67" spans="1:11" x14ac:dyDescent="0.25">
      <c r="A67" s="766"/>
      <c r="B67" s="768"/>
      <c r="C67" s="768" t="s">
        <v>1152</v>
      </c>
      <c r="D67" s="1209">
        <f>+D66</f>
        <v>2</v>
      </c>
      <c r="E67" s="1221">
        <f>+$D$62*$F$61</f>
        <v>4.5174500000000002</v>
      </c>
      <c r="F67" s="1128">
        <f>+D67-E67</f>
        <v>-2.5174500000000002</v>
      </c>
      <c r="G67" s="763"/>
      <c r="H67" s="1211">
        <f>+H66</f>
        <v>10</v>
      </c>
      <c r="I67" s="1221">
        <f>+$H$62*$F$61</f>
        <v>14.9375</v>
      </c>
      <c r="J67" s="1128">
        <f>+H67-I67</f>
        <v>-4.9375</v>
      </c>
      <c r="K67" s="763"/>
    </row>
    <row r="68" spans="1:11" x14ac:dyDescent="0.25">
      <c r="A68" s="766"/>
      <c r="B68" s="768" t="s">
        <v>1153</v>
      </c>
      <c r="C68" s="768" t="s">
        <v>1154</v>
      </c>
      <c r="D68" s="1209">
        <f>+D67</f>
        <v>2</v>
      </c>
      <c r="E68" s="1221">
        <f>+$D$62*$F$61</f>
        <v>4.5174500000000002</v>
      </c>
      <c r="F68" s="1128">
        <f>+D68-E68</f>
        <v>-2.5174500000000002</v>
      </c>
      <c r="G68" s="763"/>
      <c r="H68" s="1211">
        <f>+H67</f>
        <v>10</v>
      </c>
      <c r="I68" s="1221">
        <f>+$H$62*$F$61</f>
        <v>14.9375</v>
      </c>
      <c r="J68" s="1128">
        <f>+H68-I68</f>
        <v>-4.9375</v>
      </c>
      <c r="K68" s="763"/>
    </row>
    <row r="69" spans="1:11" x14ac:dyDescent="0.25">
      <c r="A69" s="766"/>
      <c r="B69" s="768"/>
      <c r="C69" s="760" t="s">
        <v>1155</v>
      </c>
      <c r="D69" s="1222">
        <v>0.03</v>
      </c>
      <c r="E69" s="768"/>
      <c r="F69" s="1212"/>
      <c r="G69" s="763"/>
      <c r="H69" s="1222">
        <f>+D69</f>
        <v>0.03</v>
      </c>
      <c r="I69" s="768"/>
      <c r="J69" s="1212"/>
      <c r="K69" s="763"/>
    </row>
    <row r="70" spans="1:11" x14ac:dyDescent="0.25">
      <c r="A70" s="766"/>
      <c r="B70" s="768"/>
      <c r="C70" s="768" t="s">
        <v>1156</v>
      </c>
      <c r="D70" s="766"/>
      <c r="E70" s="768"/>
      <c r="F70" s="1128">
        <f>+NPV(+D69,F64:F68)</f>
        <v>-11.529183858402881</v>
      </c>
      <c r="G70" s="763"/>
      <c r="H70" s="766"/>
      <c r="I70" s="768"/>
      <c r="J70" s="1128">
        <f>+NPV(+H69,J64:J68)</f>
        <v>-22.612304236773006</v>
      </c>
      <c r="K70" s="763"/>
    </row>
    <row r="71" spans="1:11" x14ac:dyDescent="0.25">
      <c r="A71" s="766"/>
      <c r="B71" s="768"/>
      <c r="C71" s="768"/>
      <c r="D71" s="766"/>
      <c r="E71" s="768"/>
      <c r="F71" s="1212"/>
      <c r="G71" s="763"/>
      <c r="H71" s="766"/>
      <c r="I71" s="768"/>
      <c r="J71" s="1212"/>
      <c r="K71" s="763"/>
    </row>
    <row r="72" spans="1:11" x14ac:dyDescent="0.25">
      <c r="A72" s="766"/>
      <c r="B72" s="768"/>
      <c r="C72" s="1223" t="s">
        <v>1157</v>
      </c>
      <c r="D72" s="1224" t="s">
        <v>1158</v>
      </c>
      <c r="E72" s="1223"/>
      <c r="F72" s="1117">
        <f>+D62+F70</f>
        <v>78.81981614159713</v>
      </c>
      <c r="G72" s="1225"/>
      <c r="H72" s="1224"/>
      <c r="I72" s="1226"/>
      <c r="J72" s="1117">
        <f>+H62+J70</f>
        <v>276.13769576322699</v>
      </c>
      <c r="K72" s="763"/>
    </row>
    <row r="73" spans="1:11" ht="16.5" thickBot="1" x14ac:dyDescent="0.3">
      <c r="A73" s="1013"/>
      <c r="B73" s="1157"/>
      <c r="C73" s="1157"/>
      <c r="D73" s="1013"/>
      <c r="E73" s="1157"/>
      <c r="F73" s="1214"/>
      <c r="G73" s="1190"/>
      <c r="H73" s="1013"/>
      <c r="I73" s="1157"/>
      <c r="J73" s="1157"/>
      <c r="K73" s="1190"/>
    </row>
    <row r="74" spans="1:11" x14ac:dyDescent="0.25">
      <c r="A74" s="1244"/>
      <c r="B74" s="1249" t="s">
        <v>1130</v>
      </c>
      <c r="C74" s="1250"/>
      <c r="D74" s="1251"/>
      <c r="E74" s="1250" t="s">
        <v>1109</v>
      </c>
      <c r="F74" s="1252"/>
      <c r="G74" s="1253"/>
      <c r="H74" s="1251"/>
      <c r="I74" s="1250" t="s">
        <v>1110</v>
      </c>
      <c r="J74" s="1250"/>
      <c r="K74" s="1253"/>
    </row>
    <row r="75" spans="1:11" ht="16.5" thickBot="1" x14ac:dyDescent="0.3">
      <c r="A75" s="1247"/>
      <c r="B75" s="1258" t="s">
        <v>1131</v>
      </c>
      <c r="C75" s="936"/>
      <c r="D75" s="935"/>
      <c r="E75" s="936"/>
      <c r="F75" s="1254"/>
      <c r="G75" s="1255"/>
      <c r="H75" s="935"/>
      <c r="I75" s="936"/>
      <c r="J75" s="936"/>
      <c r="K75" s="1255"/>
    </row>
    <row r="76" spans="1:11" x14ac:dyDescent="0.25">
      <c r="A76" s="1191">
        <v>3</v>
      </c>
      <c r="B76" s="728"/>
      <c r="C76" s="1197" t="s">
        <v>1159</v>
      </c>
      <c r="D76" s="1161"/>
      <c r="E76" s="728"/>
      <c r="F76" s="1213"/>
      <c r="G76" s="1086"/>
      <c r="H76" s="1161"/>
      <c r="I76" s="728"/>
      <c r="J76" s="728"/>
      <c r="K76" s="1086"/>
    </row>
    <row r="77" spans="1:11" x14ac:dyDescent="0.25">
      <c r="A77" s="766"/>
      <c r="B77" s="768"/>
      <c r="C77" s="768" t="s">
        <v>1160</v>
      </c>
      <c r="D77" s="766"/>
      <c r="E77" s="768"/>
      <c r="F77" s="1212"/>
      <c r="G77" s="763"/>
      <c r="H77" s="766"/>
      <c r="I77" s="768"/>
      <c r="J77" s="768"/>
      <c r="K77" s="763"/>
    </row>
    <row r="78" spans="1:11" x14ac:dyDescent="0.25">
      <c r="A78" s="766"/>
      <c r="B78" s="768"/>
      <c r="C78" s="768"/>
      <c r="D78" s="766"/>
      <c r="E78" s="768"/>
      <c r="F78" s="1212"/>
      <c r="G78" s="763"/>
      <c r="H78" s="766"/>
      <c r="I78" s="768"/>
      <c r="J78" s="768"/>
      <c r="K78" s="763"/>
    </row>
    <row r="79" spans="1:11" x14ac:dyDescent="0.25">
      <c r="A79" s="766"/>
      <c r="B79" s="768" t="s">
        <v>566</v>
      </c>
      <c r="C79" s="768" t="s">
        <v>1133</v>
      </c>
      <c r="D79" s="1209">
        <f>+D62</f>
        <v>90.349000000000004</v>
      </c>
      <c r="E79" s="1219"/>
      <c r="F79" s="1212"/>
      <c r="G79" s="763"/>
      <c r="H79" s="1209">
        <f>+H62</f>
        <v>298.75</v>
      </c>
      <c r="I79" s="768"/>
      <c r="J79" s="768"/>
      <c r="K79" s="763"/>
    </row>
    <row r="80" spans="1:11" x14ac:dyDescent="0.25">
      <c r="A80" s="766"/>
      <c r="B80" s="768" t="s">
        <v>568</v>
      </c>
      <c r="C80" s="768" t="s">
        <v>1149</v>
      </c>
      <c r="D80" s="1209">
        <f>+D64</f>
        <v>2</v>
      </c>
      <c r="E80" s="1212"/>
      <c r="F80" s="1212"/>
      <c r="G80" s="763"/>
      <c r="H80" s="1209">
        <f>+H64</f>
        <v>10</v>
      </c>
      <c r="I80" s="768"/>
      <c r="J80" s="768"/>
      <c r="K80" s="763"/>
    </row>
    <row r="81" spans="1:11" x14ac:dyDescent="0.25">
      <c r="A81" s="766"/>
      <c r="B81" s="768"/>
      <c r="C81" s="768" t="s">
        <v>1150</v>
      </c>
      <c r="D81" s="1209">
        <f>+D80</f>
        <v>2</v>
      </c>
      <c r="E81" s="1212"/>
      <c r="F81" s="1212"/>
      <c r="G81" s="763"/>
      <c r="H81" s="1209">
        <f>+H65</f>
        <v>10</v>
      </c>
      <c r="I81" s="768"/>
      <c r="J81" s="768"/>
      <c r="K81" s="763"/>
    </row>
    <row r="82" spans="1:11" x14ac:dyDescent="0.25">
      <c r="A82" s="766"/>
      <c r="B82" s="768"/>
      <c r="C82" s="768" t="s">
        <v>1151</v>
      </c>
      <c r="D82" s="1209">
        <f>+D81</f>
        <v>2</v>
      </c>
      <c r="E82" s="1212"/>
      <c r="F82" s="1212"/>
      <c r="G82" s="763"/>
      <c r="H82" s="1209">
        <f>+H66</f>
        <v>10</v>
      </c>
      <c r="I82" s="768" t="s">
        <v>652</v>
      </c>
      <c r="J82" s="768"/>
      <c r="K82" s="763"/>
    </row>
    <row r="83" spans="1:11" x14ac:dyDescent="0.25">
      <c r="A83" s="766"/>
      <c r="B83" s="768"/>
      <c r="C83" s="768" t="s">
        <v>1152</v>
      </c>
      <c r="D83" s="1209">
        <f>+D82</f>
        <v>2</v>
      </c>
      <c r="E83" s="1212"/>
      <c r="F83" s="1212"/>
      <c r="G83" s="763"/>
      <c r="H83" s="1209">
        <f>+H67</f>
        <v>10</v>
      </c>
      <c r="I83" s="768"/>
      <c r="J83" s="768"/>
      <c r="K83" s="763"/>
    </row>
    <row r="84" spans="1:11" x14ac:dyDescent="0.25">
      <c r="A84" s="766"/>
      <c r="B84" s="768"/>
      <c r="C84" s="768" t="s">
        <v>1154</v>
      </c>
      <c r="D84" s="1209">
        <f>+D83</f>
        <v>2</v>
      </c>
      <c r="E84" s="1212"/>
      <c r="F84" s="1212"/>
      <c r="G84" s="763"/>
      <c r="H84" s="1209">
        <f>+H68</f>
        <v>10</v>
      </c>
      <c r="I84" s="768"/>
      <c r="J84" s="768"/>
      <c r="K84" s="763"/>
    </row>
    <row r="85" spans="1:11" x14ac:dyDescent="0.25">
      <c r="A85" s="766"/>
      <c r="B85" s="768"/>
      <c r="C85" s="768"/>
      <c r="D85" s="1209"/>
      <c r="E85" s="768"/>
      <c r="F85" s="1212"/>
      <c r="G85" s="763"/>
      <c r="H85" s="1209"/>
      <c r="I85" s="768"/>
      <c r="J85" s="768"/>
      <c r="K85" s="763"/>
    </row>
    <row r="86" spans="1:11" x14ac:dyDescent="0.25">
      <c r="A86" s="766"/>
      <c r="B86" s="768"/>
      <c r="C86" s="768" t="s">
        <v>84</v>
      </c>
      <c r="D86" s="1209">
        <f>SUM(D79:D85)</f>
        <v>100.349</v>
      </c>
      <c r="E86" s="1227">
        <f>+(1+D87)^5</f>
        <v>1.2762815625000001</v>
      </c>
      <c r="F86" s="1212">
        <f>+D86/E86</f>
        <v>78.626067278943395</v>
      </c>
      <c r="G86" s="763"/>
      <c r="H86" s="1209">
        <f>SUM(H79:H85)</f>
        <v>348.75</v>
      </c>
      <c r="I86" s="1227">
        <f>+(1+H87)^5</f>
        <v>1.2762815625000001</v>
      </c>
      <c r="J86" s="1212">
        <f>+H86/I86</f>
        <v>273.25475055587503</v>
      </c>
      <c r="K86" s="763"/>
    </row>
    <row r="87" spans="1:11" x14ac:dyDescent="0.25">
      <c r="A87" s="766"/>
      <c r="B87" s="768" t="s">
        <v>1161</v>
      </c>
      <c r="C87" s="760" t="s">
        <v>1162</v>
      </c>
      <c r="D87" s="1222">
        <v>0.05</v>
      </c>
      <c r="E87" s="768"/>
      <c r="F87" s="1212"/>
      <c r="G87" s="763"/>
      <c r="H87" s="1222">
        <v>0.05</v>
      </c>
      <c r="I87" s="768"/>
      <c r="J87" s="1212"/>
      <c r="K87" s="763"/>
    </row>
    <row r="88" spans="1:11" x14ac:dyDescent="0.25">
      <c r="A88" s="766"/>
      <c r="B88" s="768"/>
      <c r="C88" s="1223" t="s">
        <v>1157</v>
      </c>
      <c r="D88" s="1224" t="s">
        <v>1163</v>
      </c>
      <c r="E88" s="1223"/>
      <c r="F88" s="1226">
        <f>+F86</f>
        <v>78.626067278943395</v>
      </c>
      <c r="G88" s="1225"/>
      <c r="H88" s="1224"/>
      <c r="I88" s="1223"/>
      <c r="J88" s="1226">
        <f>+J86</f>
        <v>273.25475055587503</v>
      </c>
      <c r="K88" s="763"/>
    </row>
    <row r="89" spans="1:11" ht="16.5" thickBot="1" x14ac:dyDescent="0.3">
      <c r="A89" s="1013"/>
      <c r="B89" s="1157"/>
      <c r="C89" s="1157"/>
      <c r="D89" s="1013"/>
      <c r="E89" s="1157"/>
      <c r="F89" s="1214"/>
      <c r="G89" s="1190"/>
      <c r="H89" s="1013"/>
      <c r="I89" s="1157"/>
      <c r="J89" s="1157"/>
      <c r="K89" s="1190"/>
    </row>
    <row r="90" spans="1:11" x14ac:dyDescent="0.25">
      <c r="A90" s="1191">
        <v>4</v>
      </c>
      <c r="B90" s="728"/>
      <c r="C90" s="1228" t="s">
        <v>1164</v>
      </c>
      <c r="D90" s="1161"/>
      <c r="E90" s="728"/>
      <c r="F90" s="1213"/>
      <c r="G90" s="1086"/>
      <c r="H90" s="1161"/>
      <c r="I90" s="728"/>
      <c r="J90" s="728"/>
      <c r="K90" s="1086"/>
    </row>
    <row r="91" spans="1:11" x14ac:dyDescent="0.25">
      <c r="A91" s="766"/>
      <c r="B91" s="768"/>
      <c r="C91" s="763" t="s">
        <v>1165</v>
      </c>
      <c r="D91" s="766"/>
      <c r="E91" s="762" t="s">
        <v>1166</v>
      </c>
      <c r="F91" s="1212"/>
      <c r="G91" s="763"/>
      <c r="H91" s="766"/>
      <c r="I91" s="762" t="s">
        <v>1166</v>
      </c>
      <c r="J91" s="768"/>
      <c r="K91" s="763"/>
    </row>
    <row r="92" spans="1:11" x14ac:dyDescent="0.25">
      <c r="A92" s="766"/>
      <c r="B92" s="768" t="s">
        <v>566</v>
      </c>
      <c r="C92" s="763" t="s">
        <v>1133</v>
      </c>
      <c r="D92" s="1211">
        <f>+D79</f>
        <v>90.349000000000004</v>
      </c>
      <c r="E92" s="768"/>
      <c r="F92" s="1212">
        <f>+D92</f>
        <v>90.349000000000004</v>
      </c>
      <c r="G92" s="763"/>
      <c r="H92" s="1211">
        <f>+H79</f>
        <v>298.75</v>
      </c>
      <c r="I92" s="768"/>
      <c r="J92" s="1212">
        <f>+H92</f>
        <v>298.75</v>
      </c>
      <c r="K92" s="763"/>
    </row>
    <row r="93" spans="1:11" x14ac:dyDescent="0.25">
      <c r="A93" s="766"/>
      <c r="B93" s="768" t="s">
        <v>568</v>
      </c>
      <c r="C93" s="763" t="s">
        <v>1167</v>
      </c>
      <c r="D93" s="1211">
        <f>+D80</f>
        <v>2</v>
      </c>
      <c r="E93" s="1219">
        <v>0.05</v>
      </c>
      <c r="F93" s="1212">
        <f>+D93/E93</f>
        <v>40</v>
      </c>
      <c r="G93" s="763"/>
      <c r="H93" s="1211">
        <f>+H80</f>
        <v>10</v>
      </c>
      <c r="I93" s="1219">
        <v>0.05</v>
      </c>
      <c r="J93" s="1212">
        <f>+H93/I93</f>
        <v>200</v>
      </c>
      <c r="K93" s="763"/>
    </row>
    <row r="94" spans="1:11" x14ac:dyDescent="0.25">
      <c r="A94" s="766"/>
      <c r="B94" s="768"/>
      <c r="C94" s="763" t="s">
        <v>1168</v>
      </c>
      <c r="D94" s="1211"/>
      <c r="E94" s="768"/>
      <c r="F94" s="1212">
        <f>+F92+F93</f>
        <v>130.34899999999999</v>
      </c>
      <c r="G94" s="763"/>
      <c r="H94" s="1211"/>
      <c r="I94" s="768"/>
      <c r="J94" s="1212">
        <f>+J92+J93</f>
        <v>498.75</v>
      </c>
      <c r="K94" s="763"/>
    </row>
    <row r="95" spans="1:11" x14ac:dyDescent="0.25">
      <c r="A95" s="766"/>
      <c r="B95" s="768"/>
      <c r="C95" s="763" t="s">
        <v>1169</v>
      </c>
      <c r="D95" s="766"/>
      <c r="E95" s="768"/>
      <c r="F95" s="1212">
        <v>2</v>
      </c>
      <c r="G95" s="763"/>
      <c r="H95" s="766"/>
      <c r="I95" s="768"/>
      <c r="J95" s="1212">
        <v>2</v>
      </c>
      <c r="K95" s="763"/>
    </row>
    <row r="96" spans="1:11" x14ac:dyDescent="0.25">
      <c r="A96" s="766"/>
      <c r="B96" s="768"/>
      <c r="C96" s="1225" t="s">
        <v>1157</v>
      </c>
      <c r="D96" s="1224" t="s">
        <v>1170</v>
      </c>
      <c r="E96" s="1223"/>
      <c r="F96" s="1226">
        <f>+F94/F95</f>
        <v>65.174499999999995</v>
      </c>
      <c r="G96" s="1225"/>
      <c r="H96" s="1224"/>
      <c r="I96" s="1223"/>
      <c r="J96" s="1226">
        <f>+J94/J95</f>
        <v>249.375</v>
      </c>
      <c r="K96" s="763"/>
    </row>
    <row r="97" spans="1:13" ht="16.5" thickBot="1" x14ac:dyDescent="0.3">
      <c r="A97" s="1013"/>
      <c r="B97" s="1157"/>
      <c r="C97" s="1190"/>
      <c r="D97" s="1013" t="s">
        <v>1171</v>
      </c>
      <c r="E97" s="1157"/>
      <c r="F97" s="1229">
        <f>+D92+((D93-(E93*D92))/(2*E93))</f>
        <v>65.174499999999995</v>
      </c>
      <c r="G97" s="1190"/>
      <c r="H97" s="1013"/>
      <c r="I97" s="1157"/>
      <c r="J97" s="1229">
        <f>+H92+((H93-(I93*H92))/(2*I93))</f>
        <v>249.375</v>
      </c>
      <c r="K97" s="1190"/>
      <c r="L97" s="768"/>
      <c r="M97" s="768"/>
    </row>
    <row r="98" spans="1:13" x14ac:dyDescent="0.25">
      <c r="A98" s="1191">
        <v>5</v>
      </c>
      <c r="B98" s="1197"/>
      <c r="C98" s="1189" t="s">
        <v>1172</v>
      </c>
      <c r="D98" s="1161"/>
      <c r="E98" s="728"/>
      <c r="F98" s="1213"/>
      <c r="G98" s="1086"/>
      <c r="H98" s="1161"/>
      <c r="I98" s="728"/>
      <c r="J98" s="728"/>
      <c r="K98" s="1086"/>
    </row>
    <row r="99" spans="1:13" x14ac:dyDescent="0.25">
      <c r="A99" s="766"/>
      <c r="B99" s="768"/>
      <c r="C99" s="1194" t="s">
        <v>1173</v>
      </c>
      <c r="D99" s="766"/>
      <c r="E99" s="768" t="s">
        <v>1174</v>
      </c>
      <c r="F99" s="1212"/>
      <c r="G99" s="763"/>
      <c r="H99" s="766"/>
      <c r="I99" s="768" t="s">
        <v>1174</v>
      </c>
      <c r="J99" s="1212"/>
      <c r="K99" s="763"/>
    </row>
    <row r="100" spans="1:13" x14ac:dyDescent="0.25">
      <c r="A100" s="766"/>
      <c r="B100" s="768" t="s">
        <v>566</v>
      </c>
      <c r="C100" s="768" t="s">
        <v>1133</v>
      </c>
      <c r="D100" s="1211">
        <f>+D92</f>
        <v>90.349000000000004</v>
      </c>
      <c r="E100" s="768"/>
      <c r="F100" s="1212">
        <f>+D100</f>
        <v>90.349000000000004</v>
      </c>
      <c r="G100" s="763"/>
      <c r="H100" s="1211">
        <f>+H92</f>
        <v>298.75</v>
      </c>
      <c r="I100" s="768"/>
      <c r="J100" s="1212">
        <f>+H100</f>
        <v>298.75</v>
      </c>
      <c r="K100" s="763"/>
    </row>
    <row r="101" spans="1:13" x14ac:dyDescent="0.25">
      <c r="A101" s="766"/>
      <c r="B101" s="768" t="s">
        <v>568</v>
      </c>
      <c r="C101" s="768" t="s">
        <v>1167</v>
      </c>
      <c r="D101" s="1211">
        <f>+D93</f>
        <v>2</v>
      </c>
      <c r="E101" s="1219"/>
      <c r="F101" s="1212"/>
      <c r="G101" s="763"/>
      <c r="H101" s="1211">
        <f>+H93</f>
        <v>10</v>
      </c>
      <c r="I101" s="1219"/>
      <c r="J101" s="1212"/>
      <c r="K101" s="763"/>
    </row>
    <row r="102" spans="1:13" x14ac:dyDescent="0.25">
      <c r="A102" s="766"/>
      <c r="B102" s="768"/>
      <c r="C102" s="768" t="s">
        <v>1175</v>
      </c>
      <c r="D102" s="1230">
        <f>+D100*E102</f>
        <v>4.5174500000000002</v>
      </c>
      <c r="E102" s="1219">
        <v>0.05</v>
      </c>
      <c r="F102" s="1212"/>
      <c r="G102" s="763"/>
      <c r="H102" s="1211">
        <f>+H100*I102</f>
        <v>14.9375</v>
      </c>
      <c r="I102" s="1219">
        <v>0.05</v>
      </c>
      <c r="J102" s="1212"/>
      <c r="K102" s="763"/>
    </row>
    <row r="103" spans="1:13" x14ac:dyDescent="0.25">
      <c r="A103" s="766"/>
      <c r="B103" s="768"/>
      <c r="C103" s="768" t="s">
        <v>1146</v>
      </c>
      <c r="D103" s="1230">
        <f>+D101-D102</f>
        <v>-2.5174500000000002</v>
      </c>
      <c r="E103" s="1219"/>
      <c r="F103" s="1231">
        <f>+D103</f>
        <v>-2.5174500000000002</v>
      </c>
      <c r="G103" s="763"/>
      <c r="H103" s="1211">
        <f>+H101-H102</f>
        <v>-4.9375</v>
      </c>
      <c r="I103" s="1219"/>
      <c r="J103" s="1212">
        <f>+H103</f>
        <v>-4.9375</v>
      </c>
      <c r="K103" s="763"/>
    </row>
    <row r="104" spans="1:13" x14ac:dyDescent="0.25">
      <c r="A104" s="766"/>
      <c r="B104" s="768" t="s">
        <v>1176</v>
      </c>
      <c r="C104" s="768" t="s">
        <v>1177</v>
      </c>
      <c r="D104" s="766"/>
      <c r="E104" s="768"/>
      <c r="F104" s="1232">
        <v>7.4999999999999997E-2</v>
      </c>
      <c r="G104" s="763"/>
      <c r="H104" s="766"/>
      <c r="I104" s="768"/>
      <c r="J104" s="1232">
        <v>7.4999999999999997E-2</v>
      </c>
      <c r="K104" s="763"/>
    </row>
    <row r="105" spans="1:13" x14ac:dyDescent="0.25">
      <c r="A105" s="766"/>
      <c r="B105" s="768"/>
      <c r="C105" s="768" t="s">
        <v>1178</v>
      </c>
      <c r="D105" s="766"/>
      <c r="E105" s="768"/>
      <c r="F105" s="1233">
        <f>+F103/F104</f>
        <v>-33.566000000000003</v>
      </c>
      <c r="G105" s="763"/>
      <c r="H105" s="766"/>
      <c r="I105" s="768"/>
      <c r="J105" s="1233">
        <f>+J103/J104</f>
        <v>-65.833333333333343</v>
      </c>
      <c r="K105" s="763"/>
    </row>
    <row r="106" spans="1:13" x14ac:dyDescent="0.25">
      <c r="A106" s="766"/>
      <c r="B106" s="768"/>
      <c r="C106" s="768"/>
      <c r="D106" s="766"/>
      <c r="E106" s="768"/>
      <c r="F106" s="1212"/>
      <c r="G106" s="763"/>
      <c r="H106" s="766"/>
      <c r="I106" s="768"/>
      <c r="J106" s="768"/>
      <c r="K106" s="763"/>
    </row>
    <row r="107" spans="1:13" x14ac:dyDescent="0.25">
      <c r="A107" s="766"/>
      <c r="B107" s="768"/>
      <c r="C107" s="1223" t="s">
        <v>1179</v>
      </c>
      <c r="D107" s="1224" t="s">
        <v>1180</v>
      </c>
      <c r="E107" s="1223"/>
      <c r="F107" s="1226">
        <f>+D100+(D101-(E102*D100))/F104</f>
        <v>56.783000000000001</v>
      </c>
      <c r="G107" s="1225"/>
      <c r="H107" s="1224"/>
      <c r="I107" s="1223"/>
      <c r="J107" s="1226">
        <f>+H100+(H101-(I102*H100))/J104</f>
        <v>232.91666666666666</v>
      </c>
      <c r="K107" s="763"/>
    </row>
    <row r="108" spans="1:13" ht="16.5" thickBot="1" x14ac:dyDescent="0.3">
      <c r="A108" s="1013"/>
      <c r="B108" s="1157"/>
      <c r="C108" s="1157"/>
      <c r="D108" s="1013"/>
      <c r="E108" s="1157"/>
      <c r="F108" s="1157"/>
      <c r="G108" s="1190"/>
      <c r="H108" s="1013"/>
      <c r="I108" s="1157"/>
      <c r="J108" s="1157"/>
      <c r="K108" s="1190"/>
    </row>
    <row r="109" spans="1:13" x14ac:dyDescent="0.25">
      <c r="A109" s="1193">
        <v>6</v>
      </c>
      <c r="B109" s="1194"/>
      <c r="C109" s="1194" t="s">
        <v>1181</v>
      </c>
      <c r="D109" s="766"/>
      <c r="E109" s="768"/>
      <c r="F109" s="1212"/>
      <c r="G109" s="763"/>
      <c r="H109" s="766"/>
      <c r="I109" s="768"/>
      <c r="J109" s="768"/>
      <c r="K109" s="763"/>
    </row>
    <row r="110" spans="1:13" x14ac:dyDescent="0.25">
      <c r="A110" s="766"/>
      <c r="B110" s="768"/>
      <c r="C110" s="768"/>
      <c r="D110" s="766"/>
      <c r="E110" s="768" t="s">
        <v>1182</v>
      </c>
      <c r="F110" s="1212"/>
      <c r="G110" s="763"/>
      <c r="H110" s="766"/>
      <c r="I110" s="768"/>
      <c r="J110" s="768"/>
      <c r="K110" s="763"/>
    </row>
    <row r="111" spans="1:13" x14ac:dyDescent="0.25">
      <c r="A111" s="766"/>
      <c r="B111" s="768" t="s">
        <v>566</v>
      </c>
      <c r="C111" s="768" t="s">
        <v>1133</v>
      </c>
      <c r="D111" s="1230">
        <f>+D100</f>
        <v>90.349000000000004</v>
      </c>
      <c r="E111" s="768"/>
      <c r="F111" s="1231">
        <f>+D111</f>
        <v>90.349000000000004</v>
      </c>
      <c r="G111" s="763"/>
      <c r="H111" s="1211">
        <f>+H100</f>
        <v>298.75</v>
      </c>
      <c r="I111" s="768"/>
      <c r="J111" s="1231">
        <f>+H111</f>
        <v>298.75</v>
      </c>
      <c r="K111" s="763"/>
    </row>
    <row r="112" spans="1:13" x14ac:dyDescent="0.25">
      <c r="A112" s="766"/>
      <c r="B112" s="768" t="s">
        <v>568</v>
      </c>
      <c r="C112" s="768" t="s">
        <v>1167</v>
      </c>
      <c r="D112" s="1209">
        <f>+D101</f>
        <v>2</v>
      </c>
      <c r="E112" s="1219"/>
      <c r="F112" s="1212"/>
      <c r="G112" s="763"/>
      <c r="H112" s="1211">
        <f>+H101</f>
        <v>10</v>
      </c>
      <c r="I112" s="768"/>
      <c r="J112" s="1212"/>
      <c r="K112" s="763"/>
    </row>
    <row r="113" spans="1:11" x14ac:dyDescent="0.25">
      <c r="A113" s="766"/>
      <c r="B113" s="768" t="s">
        <v>1161</v>
      </c>
      <c r="C113" s="768" t="s">
        <v>1175</v>
      </c>
      <c r="D113" s="1209">
        <f>+D111*E113</f>
        <v>4.5174500000000002</v>
      </c>
      <c r="E113" s="1219">
        <v>0.05</v>
      </c>
      <c r="F113" s="1212"/>
      <c r="G113" s="763"/>
      <c r="H113" s="1211">
        <f>+H102</f>
        <v>14.9375</v>
      </c>
      <c r="I113" s="1219">
        <f>+I102</f>
        <v>0.05</v>
      </c>
      <c r="J113" s="1212"/>
      <c r="K113" s="763"/>
    </row>
    <row r="114" spans="1:11" x14ac:dyDescent="0.25">
      <c r="A114" s="766"/>
      <c r="B114" s="768"/>
      <c r="C114" s="768" t="s">
        <v>1146</v>
      </c>
      <c r="D114" s="1209">
        <f>+D112-D113</f>
        <v>-2.5174500000000002</v>
      </c>
      <c r="E114" s="1234"/>
      <c r="F114" s="1231">
        <f>+D114</f>
        <v>-2.5174500000000002</v>
      </c>
      <c r="G114" s="763"/>
      <c r="H114" s="1211">
        <f>+H103</f>
        <v>-4.9375</v>
      </c>
      <c r="I114" s="768"/>
      <c r="J114" s="1231">
        <f>+H114</f>
        <v>-4.9375</v>
      </c>
      <c r="K114" s="763"/>
    </row>
    <row r="115" spans="1:11" x14ac:dyDescent="0.25">
      <c r="A115" s="766"/>
      <c r="B115" s="768" t="s">
        <v>1183</v>
      </c>
      <c r="C115" s="768" t="s">
        <v>1184</v>
      </c>
      <c r="D115" s="766"/>
      <c r="E115" s="768"/>
      <c r="F115" s="1212">
        <v>5</v>
      </c>
      <c r="G115" s="763"/>
      <c r="H115" s="766"/>
      <c r="I115" s="768"/>
      <c r="J115" s="1212">
        <v>5</v>
      </c>
      <c r="K115" s="763"/>
    </row>
    <row r="116" spans="1:11" x14ac:dyDescent="0.25">
      <c r="A116" s="766"/>
      <c r="B116" s="768"/>
      <c r="C116" s="768" t="s">
        <v>1185</v>
      </c>
      <c r="D116" s="766"/>
      <c r="E116" s="768"/>
      <c r="F116" s="1235">
        <f>+F114*F115</f>
        <v>-12.587250000000001</v>
      </c>
      <c r="G116" s="763"/>
      <c r="H116" s="766"/>
      <c r="I116" s="768"/>
      <c r="J116" s="1235">
        <f>+J114*J115</f>
        <v>-24.6875</v>
      </c>
      <c r="K116" s="763"/>
    </row>
    <row r="117" spans="1:11" x14ac:dyDescent="0.25">
      <c r="A117" s="766"/>
      <c r="B117" s="768"/>
      <c r="C117" s="768"/>
      <c r="D117" s="766"/>
      <c r="E117" s="768"/>
      <c r="F117" s="1212"/>
      <c r="G117" s="763"/>
      <c r="H117" s="766"/>
      <c r="I117" s="768"/>
      <c r="J117" s="768"/>
      <c r="K117" s="763"/>
    </row>
    <row r="118" spans="1:11" x14ac:dyDescent="0.25">
      <c r="A118" s="766"/>
      <c r="B118" s="768"/>
      <c r="C118" s="1223" t="s">
        <v>1179</v>
      </c>
      <c r="D118" s="1224" t="s">
        <v>1186</v>
      </c>
      <c r="E118" s="1223"/>
      <c r="F118" s="1226">
        <f>+D111+(F115*(D112-D113))</f>
        <v>77.761750000000006</v>
      </c>
      <c r="G118" s="1225"/>
      <c r="H118" s="1224"/>
      <c r="I118" s="1223"/>
      <c r="J118" s="1226">
        <f>+H111+(J115*(H112-H113))</f>
        <v>274.0625</v>
      </c>
      <c r="K118" s="763"/>
    </row>
    <row r="119" spans="1:11" ht="16.5" thickBot="1" x14ac:dyDescent="0.3">
      <c r="A119" s="1013"/>
      <c r="B119" s="1157"/>
      <c r="C119" s="1157"/>
      <c r="D119" s="1013"/>
      <c r="E119" s="1157"/>
      <c r="F119" s="1214"/>
      <c r="G119" s="1190"/>
      <c r="H119" s="1013"/>
      <c r="I119" s="1157"/>
      <c r="J119" s="1157"/>
      <c r="K119" s="1190"/>
    </row>
    <row r="120" spans="1:11" x14ac:dyDescent="0.25">
      <c r="A120" s="1236">
        <v>7</v>
      </c>
      <c r="B120" s="1237"/>
      <c r="C120" s="1237" t="s">
        <v>1187</v>
      </c>
      <c r="D120" s="766"/>
      <c r="E120" s="768"/>
      <c r="F120" s="1212"/>
      <c r="G120" s="763"/>
      <c r="H120" s="766"/>
      <c r="I120" s="768"/>
      <c r="J120" s="768"/>
      <c r="K120" s="763"/>
    </row>
    <row r="121" spans="1:11" x14ac:dyDescent="0.25">
      <c r="A121" s="766"/>
      <c r="B121" s="768"/>
      <c r="C121" s="768"/>
      <c r="D121" s="766"/>
      <c r="E121" s="768" t="s">
        <v>1188</v>
      </c>
      <c r="F121" s="1212"/>
      <c r="G121" s="763"/>
      <c r="H121" s="766"/>
      <c r="I121" s="768" t="s">
        <v>1188</v>
      </c>
      <c r="J121" s="1212"/>
      <c r="K121" s="763"/>
    </row>
    <row r="122" spans="1:11" x14ac:dyDescent="0.25">
      <c r="A122" s="766"/>
      <c r="B122" s="768" t="s">
        <v>566</v>
      </c>
      <c r="C122" s="768" t="s">
        <v>1133</v>
      </c>
      <c r="D122" s="1211">
        <f>+D111</f>
        <v>90.349000000000004</v>
      </c>
      <c r="E122" s="768"/>
      <c r="F122" s="1212">
        <f>+D122</f>
        <v>90.349000000000004</v>
      </c>
      <c r="G122" s="763"/>
      <c r="H122" s="1211">
        <f>+H111</f>
        <v>298.75</v>
      </c>
      <c r="I122" s="768"/>
      <c r="J122" s="1212">
        <f>+H122</f>
        <v>298.75</v>
      </c>
      <c r="K122" s="763"/>
    </row>
    <row r="123" spans="1:11" x14ac:dyDescent="0.25">
      <c r="A123" s="766"/>
      <c r="B123" s="768" t="s">
        <v>568</v>
      </c>
      <c r="C123" s="768" t="s">
        <v>1167</v>
      </c>
      <c r="D123" s="1211">
        <f>+D112</f>
        <v>2</v>
      </c>
      <c r="E123" s="1219">
        <v>0.1</v>
      </c>
      <c r="F123" s="1212">
        <f>+D123/E123</f>
        <v>20</v>
      </c>
      <c r="G123" s="763"/>
      <c r="H123" s="1211">
        <f>+H112</f>
        <v>10</v>
      </c>
      <c r="I123" s="1219">
        <v>0.1</v>
      </c>
      <c r="J123" s="1212">
        <f>+H123/I123</f>
        <v>100</v>
      </c>
      <c r="K123" s="763"/>
    </row>
    <row r="124" spans="1:11" x14ac:dyDescent="0.25">
      <c r="A124" s="766"/>
      <c r="B124" s="768" t="s">
        <v>1161</v>
      </c>
      <c r="C124" s="768" t="s">
        <v>1189</v>
      </c>
      <c r="D124" s="1238">
        <v>0.05</v>
      </c>
      <c r="E124" s="1219"/>
      <c r="F124" s="1212"/>
      <c r="G124" s="763"/>
      <c r="H124" s="1211"/>
      <c r="I124" s="1219"/>
      <c r="J124" s="1212"/>
      <c r="K124" s="763"/>
    </row>
    <row r="125" spans="1:11" x14ac:dyDescent="0.25">
      <c r="A125" s="766"/>
      <c r="B125" s="768" t="s">
        <v>1153</v>
      </c>
      <c r="C125" s="768" t="s">
        <v>1190</v>
      </c>
      <c r="D125" s="1238">
        <v>0.1</v>
      </c>
      <c r="E125" s="1219"/>
      <c r="F125" s="1212"/>
      <c r="G125" s="763"/>
      <c r="H125" s="1211"/>
      <c r="I125" s="1219"/>
      <c r="J125" s="1212"/>
      <c r="K125" s="763"/>
    </row>
    <row r="126" spans="1:11" x14ac:dyDescent="0.25">
      <c r="A126" s="766"/>
      <c r="B126" s="768"/>
      <c r="C126" s="768"/>
      <c r="D126" s="1211"/>
      <c r="E126" s="1219"/>
      <c r="F126" s="1212">
        <f>SUM(F122:F123)</f>
        <v>110.349</v>
      </c>
      <c r="G126" s="763"/>
      <c r="H126" s="1211"/>
      <c r="I126" s="1219"/>
      <c r="J126" s="1212">
        <f>SUM(J122:J123)</f>
        <v>398.75</v>
      </c>
      <c r="K126" s="763"/>
    </row>
    <row r="127" spans="1:11" x14ac:dyDescent="0.25">
      <c r="A127" s="766"/>
      <c r="B127" s="768"/>
      <c r="C127" s="768" t="s">
        <v>1191</v>
      </c>
      <c r="D127" s="1239">
        <f>1+0.05/0.1</f>
        <v>1.5</v>
      </c>
      <c r="E127" s="1219"/>
      <c r="F127" s="1240">
        <f>+D127</f>
        <v>1.5</v>
      </c>
      <c r="G127" s="763"/>
      <c r="H127" s="1239">
        <f>1+0.05/0.1</f>
        <v>1.5</v>
      </c>
      <c r="I127" s="1219"/>
      <c r="J127" s="1240">
        <f>+H127</f>
        <v>1.5</v>
      </c>
      <c r="K127" s="763"/>
    </row>
    <row r="128" spans="1:11" x14ac:dyDescent="0.25">
      <c r="A128" s="766"/>
      <c r="B128" s="768"/>
      <c r="C128" s="1223" t="s">
        <v>1179</v>
      </c>
      <c r="D128" s="1241"/>
      <c r="E128" s="1242"/>
      <c r="F128" s="1226">
        <f>+F126/F127</f>
        <v>73.566000000000003</v>
      </c>
      <c r="G128" s="1225"/>
      <c r="H128" s="1224"/>
      <c r="I128" s="1223"/>
      <c r="J128" s="1226">
        <f>+J126/J127</f>
        <v>265.83333333333331</v>
      </c>
      <c r="K128" s="763"/>
    </row>
    <row r="129" spans="1:11" ht="16.5" thickBot="1" x14ac:dyDescent="0.3">
      <c r="A129" s="1013"/>
      <c r="B129" s="1157"/>
      <c r="C129" s="1157"/>
      <c r="D129" s="1013"/>
      <c r="E129" s="1157"/>
      <c r="F129" s="1214"/>
      <c r="G129" s="1190"/>
      <c r="H129" s="1013"/>
      <c r="I129" s="1157"/>
      <c r="J129" s="1157"/>
      <c r="K129" s="1190"/>
    </row>
    <row r="130" spans="1:11" x14ac:dyDescent="0.25">
      <c r="F130" s="761"/>
    </row>
    <row r="132" spans="1:11" x14ac:dyDescent="0.25">
      <c r="C132" s="977" t="s">
        <v>1194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showGridLines="0" workbookViewId="0">
      <selection sqref="A1:I64"/>
    </sheetView>
  </sheetViews>
  <sheetFormatPr baseColWidth="10" defaultColWidth="11.42578125" defaultRowHeight="15.75" x14ac:dyDescent="0.25"/>
  <cols>
    <col min="1" max="1" width="7.7109375" style="813" customWidth="1"/>
    <col min="2" max="2" width="32.140625" style="813" customWidth="1"/>
    <col min="3" max="3" width="10.7109375" style="813" customWidth="1"/>
    <col min="4" max="4" width="12.5703125" style="813" bestFit="1" customWidth="1"/>
    <col min="5" max="5" width="12.7109375" style="813" bestFit="1" customWidth="1"/>
    <col min="6" max="8" width="11.140625" style="813" bestFit="1" customWidth="1"/>
    <col min="9" max="9" width="15.42578125" style="671" bestFit="1" customWidth="1"/>
    <col min="10" max="12" width="11.42578125" style="671"/>
    <col min="13" max="13" width="31" style="671" customWidth="1"/>
    <col min="14" max="256" width="11.42578125" style="671"/>
    <col min="257" max="257" width="7.7109375" style="671" customWidth="1"/>
    <col min="258" max="258" width="32.140625" style="671" customWidth="1"/>
    <col min="259" max="259" width="10.7109375" style="671" customWidth="1"/>
    <col min="260" max="260" width="12.5703125" style="671" bestFit="1" customWidth="1"/>
    <col min="261" max="261" width="12.7109375" style="671" bestFit="1" customWidth="1"/>
    <col min="262" max="264" width="11.140625" style="671" bestFit="1" customWidth="1"/>
    <col min="265" max="265" width="15.42578125" style="671" bestFit="1" customWidth="1"/>
    <col min="266" max="268" width="11.42578125" style="671"/>
    <col min="269" max="269" width="31" style="671" customWidth="1"/>
    <col min="270" max="512" width="11.42578125" style="671"/>
    <col min="513" max="513" width="7.7109375" style="671" customWidth="1"/>
    <col min="514" max="514" width="32.140625" style="671" customWidth="1"/>
    <col min="515" max="515" width="10.7109375" style="671" customWidth="1"/>
    <col min="516" max="516" width="12.5703125" style="671" bestFit="1" customWidth="1"/>
    <col min="517" max="517" width="12.7109375" style="671" bestFit="1" customWidth="1"/>
    <col min="518" max="520" width="11.140625" style="671" bestFit="1" customWidth="1"/>
    <col min="521" max="521" width="15.42578125" style="671" bestFit="1" customWidth="1"/>
    <col min="522" max="524" width="11.42578125" style="671"/>
    <col min="525" max="525" width="31" style="671" customWidth="1"/>
    <col min="526" max="768" width="11.42578125" style="671"/>
    <col min="769" max="769" width="7.7109375" style="671" customWidth="1"/>
    <col min="770" max="770" width="32.140625" style="671" customWidth="1"/>
    <col min="771" max="771" width="10.7109375" style="671" customWidth="1"/>
    <col min="772" max="772" width="12.5703125" style="671" bestFit="1" customWidth="1"/>
    <col min="773" max="773" width="12.7109375" style="671" bestFit="1" customWidth="1"/>
    <col min="774" max="776" width="11.140625" style="671" bestFit="1" customWidth="1"/>
    <col min="777" max="777" width="15.42578125" style="671" bestFit="1" customWidth="1"/>
    <col min="778" max="780" width="11.42578125" style="671"/>
    <col min="781" max="781" width="31" style="671" customWidth="1"/>
    <col min="782" max="1024" width="11.42578125" style="671"/>
    <col min="1025" max="1025" width="7.7109375" style="671" customWidth="1"/>
    <col min="1026" max="1026" width="32.140625" style="671" customWidth="1"/>
    <col min="1027" max="1027" width="10.7109375" style="671" customWidth="1"/>
    <col min="1028" max="1028" width="12.5703125" style="671" bestFit="1" customWidth="1"/>
    <col min="1029" max="1029" width="12.7109375" style="671" bestFit="1" customWidth="1"/>
    <col min="1030" max="1032" width="11.140625" style="671" bestFit="1" customWidth="1"/>
    <col min="1033" max="1033" width="15.42578125" style="671" bestFit="1" customWidth="1"/>
    <col min="1034" max="1036" width="11.42578125" style="671"/>
    <col min="1037" max="1037" width="31" style="671" customWidth="1"/>
    <col min="1038" max="1280" width="11.42578125" style="671"/>
    <col min="1281" max="1281" width="7.7109375" style="671" customWidth="1"/>
    <col min="1282" max="1282" width="32.140625" style="671" customWidth="1"/>
    <col min="1283" max="1283" width="10.7109375" style="671" customWidth="1"/>
    <col min="1284" max="1284" width="12.5703125" style="671" bestFit="1" customWidth="1"/>
    <col min="1285" max="1285" width="12.7109375" style="671" bestFit="1" customWidth="1"/>
    <col min="1286" max="1288" width="11.140625" style="671" bestFit="1" customWidth="1"/>
    <col min="1289" max="1289" width="15.42578125" style="671" bestFit="1" customWidth="1"/>
    <col min="1290" max="1292" width="11.42578125" style="671"/>
    <col min="1293" max="1293" width="31" style="671" customWidth="1"/>
    <col min="1294" max="1536" width="11.42578125" style="671"/>
    <col min="1537" max="1537" width="7.7109375" style="671" customWidth="1"/>
    <col min="1538" max="1538" width="32.140625" style="671" customWidth="1"/>
    <col min="1539" max="1539" width="10.7109375" style="671" customWidth="1"/>
    <col min="1540" max="1540" width="12.5703125" style="671" bestFit="1" customWidth="1"/>
    <col min="1541" max="1541" width="12.7109375" style="671" bestFit="1" customWidth="1"/>
    <col min="1542" max="1544" width="11.140625" style="671" bestFit="1" customWidth="1"/>
    <col min="1545" max="1545" width="15.42578125" style="671" bestFit="1" customWidth="1"/>
    <col min="1546" max="1548" width="11.42578125" style="671"/>
    <col min="1549" max="1549" width="31" style="671" customWidth="1"/>
    <col min="1550" max="1792" width="11.42578125" style="671"/>
    <col min="1793" max="1793" width="7.7109375" style="671" customWidth="1"/>
    <col min="1794" max="1794" width="32.140625" style="671" customWidth="1"/>
    <col min="1795" max="1795" width="10.7109375" style="671" customWidth="1"/>
    <col min="1796" max="1796" width="12.5703125" style="671" bestFit="1" customWidth="1"/>
    <col min="1797" max="1797" width="12.7109375" style="671" bestFit="1" customWidth="1"/>
    <col min="1798" max="1800" width="11.140625" style="671" bestFit="1" customWidth="1"/>
    <col min="1801" max="1801" width="15.42578125" style="671" bestFit="1" customWidth="1"/>
    <col min="1802" max="1804" width="11.42578125" style="671"/>
    <col min="1805" max="1805" width="31" style="671" customWidth="1"/>
    <col min="1806" max="2048" width="11.42578125" style="671"/>
    <col min="2049" max="2049" width="7.7109375" style="671" customWidth="1"/>
    <col min="2050" max="2050" width="32.140625" style="671" customWidth="1"/>
    <col min="2051" max="2051" width="10.7109375" style="671" customWidth="1"/>
    <col min="2052" max="2052" width="12.5703125" style="671" bestFit="1" customWidth="1"/>
    <col min="2053" max="2053" width="12.7109375" style="671" bestFit="1" customWidth="1"/>
    <col min="2054" max="2056" width="11.140625" style="671" bestFit="1" customWidth="1"/>
    <col min="2057" max="2057" width="15.42578125" style="671" bestFit="1" customWidth="1"/>
    <col min="2058" max="2060" width="11.42578125" style="671"/>
    <col min="2061" max="2061" width="31" style="671" customWidth="1"/>
    <col min="2062" max="2304" width="11.42578125" style="671"/>
    <col min="2305" max="2305" width="7.7109375" style="671" customWidth="1"/>
    <col min="2306" max="2306" width="32.140625" style="671" customWidth="1"/>
    <col min="2307" max="2307" width="10.7109375" style="671" customWidth="1"/>
    <col min="2308" max="2308" width="12.5703125" style="671" bestFit="1" customWidth="1"/>
    <col min="2309" max="2309" width="12.7109375" style="671" bestFit="1" customWidth="1"/>
    <col min="2310" max="2312" width="11.140625" style="671" bestFit="1" customWidth="1"/>
    <col min="2313" max="2313" width="15.42578125" style="671" bestFit="1" customWidth="1"/>
    <col min="2314" max="2316" width="11.42578125" style="671"/>
    <col min="2317" max="2317" width="31" style="671" customWidth="1"/>
    <col min="2318" max="2560" width="11.42578125" style="671"/>
    <col min="2561" max="2561" width="7.7109375" style="671" customWidth="1"/>
    <col min="2562" max="2562" width="32.140625" style="671" customWidth="1"/>
    <col min="2563" max="2563" width="10.7109375" style="671" customWidth="1"/>
    <col min="2564" max="2564" width="12.5703125" style="671" bestFit="1" customWidth="1"/>
    <col min="2565" max="2565" width="12.7109375" style="671" bestFit="1" customWidth="1"/>
    <col min="2566" max="2568" width="11.140625" style="671" bestFit="1" customWidth="1"/>
    <col min="2569" max="2569" width="15.42578125" style="671" bestFit="1" customWidth="1"/>
    <col min="2570" max="2572" width="11.42578125" style="671"/>
    <col min="2573" max="2573" width="31" style="671" customWidth="1"/>
    <col min="2574" max="2816" width="11.42578125" style="671"/>
    <col min="2817" max="2817" width="7.7109375" style="671" customWidth="1"/>
    <col min="2818" max="2818" width="32.140625" style="671" customWidth="1"/>
    <col min="2819" max="2819" width="10.7109375" style="671" customWidth="1"/>
    <col min="2820" max="2820" width="12.5703125" style="671" bestFit="1" customWidth="1"/>
    <col min="2821" max="2821" width="12.7109375" style="671" bestFit="1" customWidth="1"/>
    <col min="2822" max="2824" width="11.140625" style="671" bestFit="1" customWidth="1"/>
    <col min="2825" max="2825" width="15.42578125" style="671" bestFit="1" customWidth="1"/>
    <col min="2826" max="2828" width="11.42578125" style="671"/>
    <col min="2829" max="2829" width="31" style="671" customWidth="1"/>
    <col min="2830" max="3072" width="11.42578125" style="671"/>
    <col min="3073" max="3073" width="7.7109375" style="671" customWidth="1"/>
    <col min="3074" max="3074" width="32.140625" style="671" customWidth="1"/>
    <col min="3075" max="3075" width="10.7109375" style="671" customWidth="1"/>
    <col min="3076" max="3076" width="12.5703125" style="671" bestFit="1" customWidth="1"/>
    <col min="3077" max="3077" width="12.7109375" style="671" bestFit="1" customWidth="1"/>
    <col min="3078" max="3080" width="11.140625" style="671" bestFit="1" customWidth="1"/>
    <col min="3081" max="3081" width="15.42578125" style="671" bestFit="1" customWidth="1"/>
    <col min="3082" max="3084" width="11.42578125" style="671"/>
    <col min="3085" max="3085" width="31" style="671" customWidth="1"/>
    <col min="3086" max="3328" width="11.42578125" style="671"/>
    <col min="3329" max="3329" width="7.7109375" style="671" customWidth="1"/>
    <col min="3330" max="3330" width="32.140625" style="671" customWidth="1"/>
    <col min="3331" max="3331" width="10.7109375" style="671" customWidth="1"/>
    <col min="3332" max="3332" width="12.5703125" style="671" bestFit="1" customWidth="1"/>
    <col min="3333" max="3333" width="12.7109375" style="671" bestFit="1" customWidth="1"/>
    <col min="3334" max="3336" width="11.140625" style="671" bestFit="1" customWidth="1"/>
    <col min="3337" max="3337" width="15.42578125" style="671" bestFit="1" customWidth="1"/>
    <col min="3338" max="3340" width="11.42578125" style="671"/>
    <col min="3341" max="3341" width="31" style="671" customWidth="1"/>
    <col min="3342" max="3584" width="11.42578125" style="671"/>
    <col min="3585" max="3585" width="7.7109375" style="671" customWidth="1"/>
    <col min="3586" max="3586" width="32.140625" style="671" customWidth="1"/>
    <col min="3587" max="3587" width="10.7109375" style="671" customWidth="1"/>
    <col min="3588" max="3588" width="12.5703125" style="671" bestFit="1" customWidth="1"/>
    <col min="3589" max="3589" width="12.7109375" style="671" bestFit="1" customWidth="1"/>
    <col min="3590" max="3592" width="11.140625" style="671" bestFit="1" customWidth="1"/>
    <col min="3593" max="3593" width="15.42578125" style="671" bestFit="1" customWidth="1"/>
    <col min="3594" max="3596" width="11.42578125" style="671"/>
    <col min="3597" max="3597" width="31" style="671" customWidth="1"/>
    <col min="3598" max="3840" width="11.42578125" style="671"/>
    <col min="3841" max="3841" width="7.7109375" style="671" customWidth="1"/>
    <col min="3842" max="3842" width="32.140625" style="671" customWidth="1"/>
    <col min="3843" max="3843" width="10.7109375" style="671" customWidth="1"/>
    <col min="3844" max="3844" width="12.5703125" style="671" bestFit="1" customWidth="1"/>
    <col min="3845" max="3845" width="12.7109375" style="671" bestFit="1" customWidth="1"/>
    <col min="3846" max="3848" width="11.140625" style="671" bestFit="1" customWidth="1"/>
    <col min="3849" max="3849" width="15.42578125" style="671" bestFit="1" customWidth="1"/>
    <col min="3850" max="3852" width="11.42578125" style="671"/>
    <col min="3853" max="3853" width="31" style="671" customWidth="1"/>
    <col min="3854" max="4096" width="11.42578125" style="671"/>
    <col min="4097" max="4097" width="7.7109375" style="671" customWidth="1"/>
    <col min="4098" max="4098" width="32.140625" style="671" customWidth="1"/>
    <col min="4099" max="4099" width="10.7109375" style="671" customWidth="1"/>
    <col min="4100" max="4100" width="12.5703125" style="671" bestFit="1" customWidth="1"/>
    <col min="4101" max="4101" width="12.7109375" style="671" bestFit="1" customWidth="1"/>
    <col min="4102" max="4104" width="11.140625" style="671" bestFit="1" customWidth="1"/>
    <col min="4105" max="4105" width="15.42578125" style="671" bestFit="1" customWidth="1"/>
    <col min="4106" max="4108" width="11.42578125" style="671"/>
    <col min="4109" max="4109" width="31" style="671" customWidth="1"/>
    <col min="4110" max="4352" width="11.42578125" style="671"/>
    <col min="4353" max="4353" width="7.7109375" style="671" customWidth="1"/>
    <col min="4354" max="4354" width="32.140625" style="671" customWidth="1"/>
    <col min="4355" max="4355" width="10.7109375" style="671" customWidth="1"/>
    <col min="4356" max="4356" width="12.5703125" style="671" bestFit="1" customWidth="1"/>
    <col min="4357" max="4357" width="12.7109375" style="671" bestFit="1" customWidth="1"/>
    <col min="4358" max="4360" width="11.140625" style="671" bestFit="1" customWidth="1"/>
    <col min="4361" max="4361" width="15.42578125" style="671" bestFit="1" customWidth="1"/>
    <col min="4362" max="4364" width="11.42578125" style="671"/>
    <col min="4365" max="4365" width="31" style="671" customWidth="1"/>
    <col min="4366" max="4608" width="11.42578125" style="671"/>
    <col min="4609" max="4609" width="7.7109375" style="671" customWidth="1"/>
    <col min="4610" max="4610" width="32.140625" style="671" customWidth="1"/>
    <col min="4611" max="4611" width="10.7109375" style="671" customWidth="1"/>
    <col min="4612" max="4612" width="12.5703125" style="671" bestFit="1" customWidth="1"/>
    <col min="4613" max="4613" width="12.7109375" style="671" bestFit="1" customWidth="1"/>
    <col min="4614" max="4616" width="11.140625" style="671" bestFit="1" customWidth="1"/>
    <col min="4617" max="4617" width="15.42578125" style="671" bestFit="1" customWidth="1"/>
    <col min="4618" max="4620" width="11.42578125" style="671"/>
    <col min="4621" max="4621" width="31" style="671" customWidth="1"/>
    <col min="4622" max="4864" width="11.42578125" style="671"/>
    <col min="4865" max="4865" width="7.7109375" style="671" customWidth="1"/>
    <col min="4866" max="4866" width="32.140625" style="671" customWidth="1"/>
    <col min="4867" max="4867" width="10.7109375" style="671" customWidth="1"/>
    <col min="4868" max="4868" width="12.5703125" style="671" bestFit="1" customWidth="1"/>
    <col min="4869" max="4869" width="12.7109375" style="671" bestFit="1" customWidth="1"/>
    <col min="4870" max="4872" width="11.140625" style="671" bestFit="1" customWidth="1"/>
    <col min="4873" max="4873" width="15.42578125" style="671" bestFit="1" customWidth="1"/>
    <col min="4874" max="4876" width="11.42578125" style="671"/>
    <col min="4877" max="4877" width="31" style="671" customWidth="1"/>
    <col min="4878" max="5120" width="11.42578125" style="671"/>
    <col min="5121" max="5121" width="7.7109375" style="671" customWidth="1"/>
    <col min="5122" max="5122" width="32.140625" style="671" customWidth="1"/>
    <col min="5123" max="5123" width="10.7109375" style="671" customWidth="1"/>
    <col min="5124" max="5124" width="12.5703125" style="671" bestFit="1" customWidth="1"/>
    <col min="5125" max="5125" width="12.7109375" style="671" bestFit="1" customWidth="1"/>
    <col min="5126" max="5128" width="11.140625" style="671" bestFit="1" customWidth="1"/>
    <col min="5129" max="5129" width="15.42578125" style="671" bestFit="1" customWidth="1"/>
    <col min="5130" max="5132" width="11.42578125" style="671"/>
    <col min="5133" max="5133" width="31" style="671" customWidth="1"/>
    <col min="5134" max="5376" width="11.42578125" style="671"/>
    <col min="5377" max="5377" width="7.7109375" style="671" customWidth="1"/>
    <col min="5378" max="5378" width="32.140625" style="671" customWidth="1"/>
    <col min="5379" max="5379" width="10.7109375" style="671" customWidth="1"/>
    <col min="5380" max="5380" width="12.5703125" style="671" bestFit="1" customWidth="1"/>
    <col min="5381" max="5381" width="12.7109375" style="671" bestFit="1" customWidth="1"/>
    <col min="5382" max="5384" width="11.140625" style="671" bestFit="1" customWidth="1"/>
    <col min="5385" max="5385" width="15.42578125" style="671" bestFit="1" customWidth="1"/>
    <col min="5386" max="5388" width="11.42578125" style="671"/>
    <col min="5389" max="5389" width="31" style="671" customWidth="1"/>
    <col min="5390" max="5632" width="11.42578125" style="671"/>
    <col min="5633" max="5633" width="7.7109375" style="671" customWidth="1"/>
    <col min="5634" max="5634" width="32.140625" style="671" customWidth="1"/>
    <col min="5635" max="5635" width="10.7109375" style="671" customWidth="1"/>
    <col min="5636" max="5636" width="12.5703125" style="671" bestFit="1" customWidth="1"/>
    <col min="5637" max="5637" width="12.7109375" style="671" bestFit="1" customWidth="1"/>
    <col min="5638" max="5640" width="11.140625" style="671" bestFit="1" customWidth="1"/>
    <col min="5641" max="5641" width="15.42578125" style="671" bestFit="1" customWidth="1"/>
    <col min="5642" max="5644" width="11.42578125" style="671"/>
    <col min="5645" max="5645" width="31" style="671" customWidth="1"/>
    <col min="5646" max="5888" width="11.42578125" style="671"/>
    <col min="5889" max="5889" width="7.7109375" style="671" customWidth="1"/>
    <col min="5890" max="5890" width="32.140625" style="671" customWidth="1"/>
    <col min="5891" max="5891" width="10.7109375" style="671" customWidth="1"/>
    <col min="5892" max="5892" width="12.5703125" style="671" bestFit="1" customWidth="1"/>
    <col min="5893" max="5893" width="12.7109375" style="671" bestFit="1" customWidth="1"/>
    <col min="5894" max="5896" width="11.140625" style="671" bestFit="1" customWidth="1"/>
    <col min="5897" max="5897" width="15.42578125" style="671" bestFit="1" customWidth="1"/>
    <col min="5898" max="5900" width="11.42578125" style="671"/>
    <col min="5901" max="5901" width="31" style="671" customWidth="1"/>
    <col min="5902" max="6144" width="11.42578125" style="671"/>
    <col min="6145" max="6145" width="7.7109375" style="671" customWidth="1"/>
    <col min="6146" max="6146" width="32.140625" style="671" customWidth="1"/>
    <col min="6147" max="6147" width="10.7109375" style="671" customWidth="1"/>
    <col min="6148" max="6148" width="12.5703125" style="671" bestFit="1" customWidth="1"/>
    <col min="6149" max="6149" width="12.7109375" style="671" bestFit="1" customWidth="1"/>
    <col min="6150" max="6152" width="11.140625" style="671" bestFit="1" customWidth="1"/>
    <col min="6153" max="6153" width="15.42578125" style="671" bestFit="1" customWidth="1"/>
    <col min="6154" max="6156" width="11.42578125" style="671"/>
    <col min="6157" max="6157" width="31" style="671" customWidth="1"/>
    <col min="6158" max="6400" width="11.42578125" style="671"/>
    <col min="6401" max="6401" width="7.7109375" style="671" customWidth="1"/>
    <col min="6402" max="6402" width="32.140625" style="671" customWidth="1"/>
    <col min="6403" max="6403" width="10.7109375" style="671" customWidth="1"/>
    <col min="6404" max="6404" width="12.5703125" style="671" bestFit="1" customWidth="1"/>
    <col min="6405" max="6405" width="12.7109375" style="671" bestFit="1" customWidth="1"/>
    <col min="6406" max="6408" width="11.140625" style="671" bestFit="1" customWidth="1"/>
    <col min="6409" max="6409" width="15.42578125" style="671" bestFit="1" customWidth="1"/>
    <col min="6410" max="6412" width="11.42578125" style="671"/>
    <col min="6413" max="6413" width="31" style="671" customWidth="1"/>
    <col min="6414" max="6656" width="11.42578125" style="671"/>
    <col min="6657" max="6657" width="7.7109375" style="671" customWidth="1"/>
    <col min="6658" max="6658" width="32.140625" style="671" customWidth="1"/>
    <col min="6659" max="6659" width="10.7109375" style="671" customWidth="1"/>
    <col min="6660" max="6660" width="12.5703125" style="671" bestFit="1" customWidth="1"/>
    <col min="6661" max="6661" width="12.7109375" style="671" bestFit="1" customWidth="1"/>
    <col min="6662" max="6664" width="11.140625" style="671" bestFit="1" customWidth="1"/>
    <col min="6665" max="6665" width="15.42578125" style="671" bestFit="1" customWidth="1"/>
    <col min="6666" max="6668" width="11.42578125" style="671"/>
    <col min="6669" max="6669" width="31" style="671" customWidth="1"/>
    <col min="6670" max="6912" width="11.42578125" style="671"/>
    <col min="6913" max="6913" width="7.7109375" style="671" customWidth="1"/>
    <col min="6914" max="6914" width="32.140625" style="671" customWidth="1"/>
    <col min="6915" max="6915" width="10.7109375" style="671" customWidth="1"/>
    <col min="6916" max="6916" width="12.5703125" style="671" bestFit="1" customWidth="1"/>
    <col min="6917" max="6917" width="12.7109375" style="671" bestFit="1" customWidth="1"/>
    <col min="6918" max="6920" width="11.140625" style="671" bestFit="1" customWidth="1"/>
    <col min="6921" max="6921" width="15.42578125" style="671" bestFit="1" customWidth="1"/>
    <col min="6922" max="6924" width="11.42578125" style="671"/>
    <col min="6925" max="6925" width="31" style="671" customWidth="1"/>
    <col min="6926" max="7168" width="11.42578125" style="671"/>
    <col min="7169" max="7169" width="7.7109375" style="671" customWidth="1"/>
    <col min="7170" max="7170" width="32.140625" style="671" customWidth="1"/>
    <col min="7171" max="7171" width="10.7109375" style="671" customWidth="1"/>
    <col min="7172" max="7172" width="12.5703125" style="671" bestFit="1" customWidth="1"/>
    <col min="7173" max="7173" width="12.7109375" style="671" bestFit="1" customWidth="1"/>
    <col min="7174" max="7176" width="11.140625" style="671" bestFit="1" customWidth="1"/>
    <col min="7177" max="7177" width="15.42578125" style="671" bestFit="1" customWidth="1"/>
    <col min="7178" max="7180" width="11.42578125" style="671"/>
    <col min="7181" max="7181" width="31" style="671" customWidth="1"/>
    <col min="7182" max="7424" width="11.42578125" style="671"/>
    <col min="7425" max="7425" width="7.7109375" style="671" customWidth="1"/>
    <col min="7426" max="7426" width="32.140625" style="671" customWidth="1"/>
    <col min="7427" max="7427" width="10.7109375" style="671" customWidth="1"/>
    <col min="7428" max="7428" width="12.5703125" style="671" bestFit="1" customWidth="1"/>
    <col min="7429" max="7429" width="12.7109375" style="671" bestFit="1" customWidth="1"/>
    <col min="7430" max="7432" width="11.140625" style="671" bestFit="1" customWidth="1"/>
    <col min="7433" max="7433" width="15.42578125" style="671" bestFit="1" customWidth="1"/>
    <col min="7434" max="7436" width="11.42578125" style="671"/>
    <col min="7437" max="7437" width="31" style="671" customWidth="1"/>
    <col min="7438" max="7680" width="11.42578125" style="671"/>
    <col min="7681" max="7681" width="7.7109375" style="671" customWidth="1"/>
    <col min="7682" max="7682" width="32.140625" style="671" customWidth="1"/>
    <col min="7683" max="7683" width="10.7109375" style="671" customWidth="1"/>
    <col min="7684" max="7684" width="12.5703125" style="671" bestFit="1" customWidth="1"/>
    <col min="7685" max="7685" width="12.7109375" style="671" bestFit="1" customWidth="1"/>
    <col min="7686" max="7688" width="11.140625" style="671" bestFit="1" customWidth="1"/>
    <col min="7689" max="7689" width="15.42578125" style="671" bestFit="1" customWidth="1"/>
    <col min="7690" max="7692" width="11.42578125" style="671"/>
    <col min="7693" max="7693" width="31" style="671" customWidth="1"/>
    <col min="7694" max="7936" width="11.42578125" style="671"/>
    <col min="7937" max="7937" width="7.7109375" style="671" customWidth="1"/>
    <col min="7938" max="7938" width="32.140625" style="671" customWidth="1"/>
    <col min="7939" max="7939" width="10.7109375" style="671" customWidth="1"/>
    <col min="7940" max="7940" width="12.5703125" style="671" bestFit="1" customWidth="1"/>
    <col min="7941" max="7941" width="12.7109375" style="671" bestFit="1" customWidth="1"/>
    <col min="7942" max="7944" width="11.140625" style="671" bestFit="1" customWidth="1"/>
    <col min="7945" max="7945" width="15.42578125" style="671" bestFit="1" customWidth="1"/>
    <col min="7946" max="7948" width="11.42578125" style="671"/>
    <col min="7949" max="7949" width="31" style="671" customWidth="1"/>
    <col min="7950" max="8192" width="11.42578125" style="671"/>
    <col min="8193" max="8193" width="7.7109375" style="671" customWidth="1"/>
    <col min="8194" max="8194" width="32.140625" style="671" customWidth="1"/>
    <col min="8195" max="8195" width="10.7109375" style="671" customWidth="1"/>
    <col min="8196" max="8196" width="12.5703125" style="671" bestFit="1" customWidth="1"/>
    <col min="8197" max="8197" width="12.7109375" style="671" bestFit="1" customWidth="1"/>
    <col min="8198" max="8200" width="11.140625" style="671" bestFit="1" customWidth="1"/>
    <col min="8201" max="8201" width="15.42578125" style="671" bestFit="1" customWidth="1"/>
    <col min="8202" max="8204" width="11.42578125" style="671"/>
    <col min="8205" max="8205" width="31" style="671" customWidth="1"/>
    <col min="8206" max="8448" width="11.42578125" style="671"/>
    <col min="8449" max="8449" width="7.7109375" style="671" customWidth="1"/>
    <col min="8450" max="8450" width="32.140625" style="671" customWidth="1"/>
    <col min="8451" max="8451" width="10.7109375" style="671" customWidth="1"/>
    <col min="8452" max="8452" width="12.5703125" style="671" bestFit="1" customWidth="1"/>
    <col min="8453" max="8453" width="12.7109375" style="671" bestFit="1" customWidth="1"/>
    <col min="8454" max="8456" width="11.140625" style="671" bestFit="1" customWidth="1"/>
    <col min="8457" max="8457" width="15.42578125" style="671" bestFit="1" customWidth="1"/>
    <col min="8458" max="8460" width="11.42578125" style="671"/>
    <col min="8461" max="8461" width="31" style="671" customWidth="1"/>
    <col min="8462" max="8704" width="11.42578125" style="671"/>
    <col min="8705" max="8705" width="7.7109375" style="671" customWidth="1"/>
    <col min="8706" max="8706" width="32.140625" style="671" customWidth="1"/>
    <col min="8707" max="8707" width="10.7109375" style="671" customWidth="1"/>
    <col min="8708" max="8708" width="12.5703125" style="671" bestFit="1" customWidth="1"/>
    <col min="8709" max="8709" width="12.7109375" style="671" bestFit="1" customWidth="1"/>
    <col min="8710" max="8712" width="11.140625" style="671" bestFit="1" customWidth="1"/>
    <col min="8713" max="8713" width="15.42578125" style="671" bestFit="1" customWidth="1"/>
    <col min="8714" max="8716" width="11.42578125" style="671"/>
    <col min="8717" max="8717" width="31" style="671" customWidth="1"/>
    <col min="8718" max="8960" width="11.42578125" style="671"/>
    <col min="8961" max="8961" width="7.7109375" style="671" customWidth="1"/>
    <col min="8962" max="8962" width="32.140625" style="671" customWidth="1"/>
    <col min="8963" max="8963" width="10.7109375" style="671" customWidth="1"/>
    <col min="8964" max="8964" width="12.5703125" style="671" bestFit="1" customWidth="1"/>
    <col min="8965" max="8965" width="12.7109375" style="671" bestFit="1" customWidth="1"/>
    <col min="8966" max="8968" width="11.140625" style="671" bestFit="1" customWidth="1"/>
    <col min="8969" max="8969" width="15.42578125" style="671" bestFit="1" customWidth="1"/>
    <col min="8970" max="8972" width="11.42578125" style="671"/>
    <col min="8973" max="8973" width="31" style="671" customWidth="1"/>
    <col min="8974" max="9216" width="11.42578125" style="671"/>
    <col min="9217" max="9217" width="7.7109375" style="671" customWidth="1"/>
    <col min="9218" max="9218" width="32.140625" style="671" customWidth="1"/>
    <col min="9219" max="9219" width="10.7109375" style="671" customWidth="1"/>
    <col min="9220" max="9220" width="12.5703125" style="671" bestFit="1" customWidth="1"/>
    <col min="9221" max="9221" width="12.7109375" style="671" bestFit="1" customWidth="1"/>
    <col min="9222" max="9224" width="11.140625" style="671" bestFit="1" customWidth="1"/>
    <col min="9225" max="9225" width="15.42578125" style="671" bestFit="1" customWidth="1"/>
    <col min="9226" max="9228" width="11.42578125" style="671"/>
    <col min="9229" max="9229" width="31" style="671" customWidth="1"/>
    <col min="9230" max="9472" width="11.42578125" style="671"/>
    <col min="9473" max="9473" width="7.7109375" style="671" customWidth="1"/>
    <col min="9474" max="9474" width="32.140625" style="671" customWidth="1"/>
    <col min="9475" max="9475" width="10.7109375" style="671" customWidth="1"/>
    <col min="9476" max="9476" width="12.5703125" style="671" bestFit="1" customWidth="1"/>
    <col min="9477" max="9477" width="12.7109375" style="671" bestFit="1" customWidth="1"/>
    <col min="9478" max="9480" width="11.140625" style="671" bestFit="1" customWidth="1"/>
    <col min="9481" max="9481" width="15.42578125" style="671" bestFit="1" customWidth="1"/>
    <col min="9482" max="9484" width="11.42578125" style="671"/>
    <col min="9485" max="9485" width="31" style="671" customWidth="1"/>
    <col min="9486" max="9728" width="11.42578125" style="671"/>
    <col min="9729" max="9729" width="7.7109375" style="671" customWidth="1"/>
    <col min="9730" max="9730" width="32.140625" style="671" customWidth="1"/>
    <col min="9731" max="9731" width="10.7109375" style="671" customWidth="1"/>
    <col min="9732" max="9732" width="12.5703125" style="671" bestFit="1" customWidth="1"/>
    <col min="9733" max="9733" width="12.7109375" style="671" bestFit="1" customWidth="1"/>
    <col min="9734" max="9736" width="11.140625" style="671" bestFit="1" customWidth="1"/>
    <col min="9737" max="9737" width="15.42578125" style="671" bestFit="1" customWidth="1"/>
    <col min="9738" max="9740" width="11.42578125" style="671"/>
    <col min="9741" max="9741" width="31" style="671" customWidth="1"/>
    <col min="9742" max="9984" width="11.42578125" style="671"/>
    <col min="9985" max="9985" width="7.7109375" style="671" customWidth="1"/>
    <col min="9986" max="9986" width="32.140625" style="671" customWidth="1"/>
    <col min="9987" max="9987" width="10.7109375" style="671" customWidth="1"/>
    <col min="9988" max="9988" width="12.5703125" style="671" bestFit="1" customWidth="1"/>
    <col min="9989" max="9989" width="12.7109375" style="671" bestFit="1" customWidth="1"/>
    <col min="9990" max="9992" width="11.140625" style="671" bestFit="1" customWidth="1"/>
    <col min="9993" max="9993" width="15.42578125" style="671" bestFit="1" customWidth="1"/>
    <col min="9994" max="9996" width="11.42578125" style="671"/>
    <col min="9997" max="9997" width="31" style="671" customWidth="1"/>
    <col min="9998" max="10240" width="11.42578125" style="671"/>
    <col min="10241" max="10241" width="7.7109375" style="671" customWidth="1"/>
    <col min="10242" max="10242" width="32.140625" style="671" customWidth="1"/>
    <col min="10243" max="10243" width="10.7109375" style="671" customWidth="1"/>
    <col min="10244" max="10244" width="12.5703125" style="671" bestFit="1" customWidth="1"/>
    <col min="10245" max="10245" width="12.7109375" style="671" bestFit="1" customWidth="1"/>
    <col min="10246" max="10248" width="11.140625" style="671" bestFit="1" customWidth="1"/>
    <col min="10249" max="10249" width="15.42578125" style="671" bestFit="1" customWidth="1"/>
    <col min="10250" max="10252" width="11.42578125" style="671"/>
    <col min="10253" max="10253" width="31" style="671" customWidth="1"/>
    <col min="10254" max="10496" width="11.42578125" style="671"/>
    <col min="10497" max="10497" width="7.7109375" style="671" customWidth="1"/>
    <col min="10498" max="10498" width="32.140625" style="671" customWidth="1"/>
    <col min="10499" max="10499" width="10.7109375" style="671" customWidth="1"/>
    <col min="10500" max="10500" width="12.5703125" style="671" bestFit="1" customWidth="1"/>
    <col min="10501" max="10501" width="12.7109375" style="671" bestFit="1" customWidth="1"/>
    <col min="10502" max="10504" width="11.140625" style="671" bestFit="1" customWidth="1"/>
    <col min="10505" max="10505" width="15.42578125" style="671" bestFit="1" customWidth="1"/>
    <col min="10506" max="10508" width="11.42578125" style="671"/>
    <col min="10509" max="10509" width="31" style="671" customWidth="1"/>
    <col min="10510" max="10752" width="11.42578125" style="671"/>
    <col min="10753" max="10753" width="7.7109375" style="671" customWidth="1"/>
    <col min="10754" max="10754" width="32.140625" style="671" customWidth="1"/>
    <col min="10755" max="10755" width="10.7109375" style="671" customWidth="1"/>
    <col min="10756" max="10756" width="12.5703125" style="671" bestFit="1" customWidth="1"/>
    <col min="10757" max="10757" width="12.7109375" style="671" bestFit="1" customWidth="1"/>
    <col min="10758" max="10760" width="11.140625" style="671" bestFit="1" customWidth="1"/>
    <col min="10761" max="10761" width="15.42578125" style="671" bestFit="1" customWidth="1"/>
    <col min="10762" max="10764" width="11.42578125" style="671"/>
    <col min="10765" max="10765" width="31" style="671" customWidth="1"/>
    <col min="10766" max="11008" width="11.42578125" style="671"/>
    <col min="11009" max="11009" width="7.7109375" style="671" customWidth="1"/>
    <col min="11010" max="11010" width="32.140625" style="671" customWidth="1"/>
    <col min="11011" max="11011" width="10.7109375" style="671" customWidth="1"/>
    <col min="11012" max="11012" width="12.5703125" style="671" bestFit="1" customWidth="1"/>
    <col min="11013" max="11013" width="12.7109375" style="671" bestFit="1" customWidth="1"/>
    <col min="11014" max="11016" width="11.140625" style="671" bestFit="1" customWidth="1"/>
    <col min="11017" max="11017" width="15.42578125" style="671" bestFit="1" customWidth="1"/>
    <col min="11018" max="11020" width="11.42578125" style="671"/>
    <col min="11021" max="11021" width="31" style="671" customWidth="1"/>
    <col min="11022" max="11264" width="11.42578125" style="671"/>
    <col min="11265" max="11265" width="7.7109375" style="671" customWidth="1"/>
    <col min="11266" max="11266" width="32.140625" style="671" customWidth="1"/>
    <col min="11267" max="11267" width="10.7109375" style="671" customWidth="1"/>
    <col min="11268" max="11268" width="12.5703125" style="671" bestFit="1" customWidth="1"/>
    <col min="11269" max="11269" width="12.7109375" style="671" bestFit="1" customWidth="1"/>
    <col min="11270" max="11272" width="11.140625" style="671" bestFit="1" customWidth="1"/>
    <col min="11273" max="11273" width="15.42578125" style="671" bestFit="1" customWidth="1"/>
    <col min="11274" max="11276" width="11.42578125" style="671"/>
    <col min="11277" max="11277" width="31" style="671" customWidth="1"/>
    <col min="11278" max="11520" width="11.42578125" style="671"/>
    <col min="11521" max="11521" width="7.7109375" style="671" customWidth="1"/>
    <col min="11522" max="11522" width="32.140625" style="671" customWidth="1"/>
    <col min="11523" max="11523" width="10.7109375" style="671" customWidth="1"/>
    <col min="11524" max="11524" width="12.5703125" style="671" bestFit="1" customWidth="1"/>
    <col min="11525" max="11525" width="12.7109375" style="671" bestFit="1" customWidth="1"/>
    <col min="11526" max="11528" width="11.140625" style="671" bestFit="1" customWidth="1"/>
    <col min="11529" max="11529" width="15.42578125" style="671" bestFit="1" customWidth="1"/>
    <col min="11530" max="11532" width="11.42578125" style="671"/>
    <col min="11533" max="11533" width="31" style="671" customWidth="1"/>
    <col min="11534" max="11776" width="11.42578125" style="671"/>
    <col min="11777" max="11777" width="7.7109375" style="671" customWidth="1"/>
    <col min="11778" max="11778" width="32.140625" style="671" customWidth="1"/>
    <col min="11779" max="11779" width="10.7109375" style="671" customWidth="1"/>
    <col min="11780" max="11780" width="12.5703125" style="671" bestFit="1" customWidth="1"/>
    <col min="11781" max="11781" width="12.7109375" style="671" bestFit="1" customWidth="1"/>
    <col min="11782" max="11784" width="11.140625" style="671" bestFit="1" customWidth="1"/>
    <col min="11785" max="11785" width="15.42578125" style="671" bestFit="1" customWidth="1"/>
    <col min="11786" max="11788" width="11.42578125" style="671"/>
    <col min="11789" max="11789" width="31" style="671" customWidth="1"/>
    <col min="11790" max="12032" width="11.42578125" style="671"/>
    <col min="12033" max="12033" width="7.7109375" style="671" customWidth="1"/>
    <col min="12034" max="12034" width="32.140625" style="671" customWidth="1"/>
    <col min="12035" max="12035" width="10.7109375" style="671" customWidth="1"/>
    <col min="12036" max="12036" width="12.5703125" style="671" bestFit="1" customWidth="1"/>
    <col min="12037" max="12037" width="12.7109375" style="671" bestFit="1" customWidth="1"/>
    <col min="12038" max="12040" width="11.140625" style="671" bestFit="1" customWidth="1"/>
    <col min="12041" max="12041" width="15.42578125" style="671" bestFit="1" customWidth="1"/>
    <col min="12042" max="12044" width="11.42578125" style="671"/>
    <col min="12045" max="12045" width="31" style="671" customWidth="1"/>
    <col min="12046" max="12288" width="11.42578125" style="671"/>
    <col min="12289" max="12289" width="7.7109375" style="671" customWidth="1"/>
    <col min="12290" max="12290" width="32.140625" style="671" customWidth="1"/>
    <col min="12291" max="12291" width="10.7109375" style="671" customWidth="1"/>
    <col min="12292" max="12292" width="12.5703125" style="671" bestFit="1" customWidth="1"/>
    <col min="12293" max="12293" width="12.7109375" style="671" bestFit="1" customWidth="1"/>
    <col min="12294" max="12296" width="11.140625" style="671" bestFit="1" customWidth="1"/>
    <col min="12297" max="12297" width="15.42578125" style="671" bestFit="1" customWidth="1"/>
    <col min="12298" max="12300" width="11.42578125" style="671"/>
    <col min="12301" max="12301" width="31" style="671" customWidth="1"/>
    <col min="12302" max="12544" width="11.42578125" style="671"/>
    <col min="12545" max="12545" width="7.7109375" style="671" customWidth="1"/>
    <col min="12546" max="12546" width="32.140625" style="671" customWidth="1"/>
    <col min="12547" max="12547" width="10.7109375" style="671" customWidth="1"/>
    <col min="12548" max="12548" width="12.5703125" style="671" bestFit="1" customWidth="1"/>
    <col min="12549" max="12549" width="12.7109375" style="671" bestFit="1" customWidth="1"/>
    <col min="12550" max="12552" width="11.140625" style="671" bestFit="1" customWidth="1"/>
    <col min="12553" max="12553" width="15.42578125" style="671" bestFit="1" customWidth="1"/>
    <col min="12554" max="12556" width="11.42578125" style="671"/>
    <col min="12557" max="12557" width="31" style="671" customWidth="1"/>
    <col min="12558" max="12800" width="11.42578125" style="671"/>
    <col min="12801" max="12801" width="7.7109375" style="671" customWidth="1"/>
    <col min="12802" max="12802" width="32.140625" style="671" customWidth="1"/>
    <col min="12803" max="12803" width="10.7109375" style="671" customWidth="1"/>
    <col min="12804" max="12804" width="12.5703125" style="671" bestFit="1" customWidth="1"/>
    <col min="12805" max="12805" width="12.7109375" style="671" bestFit="1" customWidth="1"/>
    <col min="12806" max="12808" width="11.140625" style="671" bestFit="1" customWidth="1"/>
    <col min="12809" max="12809" width="15.42578125" style="671" bestFit="1" customWidth="1"/>
    <col min="12810" max="12812" width="11.42578125" style="671"/>
    <col min="12813" max="12813" width="31" style="671" customWidth="1"/>
    <col min="12814" max="13056" width="11.42578125" style="671"/>
    <col min="13057" max="13057" width="7.7109375" style="671" customWidth="1"/>
    <col min="13058" max="13058" width="32.140625" style="671" customWidth="1"/>
    <col min="13059" max="13059" width="10.7109375" style="671" customWidth="1"/>
    <col min="13060" max="13060" width="12.5703125" style="671" bestFit="1" customWidth="1"/>
    <col min="13061" max="13061" width="12.7109375" style="671" bestFit="1" customWidth="1"/>
    <col min="13062" max="13064" width="11.140625" style="671" bestFit="1" customWidth="1"/>
    <col min="13065" max="13065" width="15.42578125" style="671" bestFit="1" customWidth="1"/>
    <col min="13066" max="13068" width="11.42578125" style="671"/>
    <col min="13069" max="13069" width="31" style="671" customWidth="1"/>
    <col min="13070" max="13312" width="11.42578125" style="671"/>
    <col min="13313" max="13313" width="7.7109375" style="671" customWidth="1"/>
    <col min="13314" max="13314" width="32.140625" style="671" customWidth="1"/>
    <col min="13315" max="13315" width="10.7109375" style="671" customWidth="1"/>
    <col min="13316" max="13316" width="12.5703125" style="671" bestFit="1" customWidth="1"/>
    <col min="13317" max="13317" width="12.7109375" style="671" bestFit="1" customWidth="1"/>
    <col min="13318" max="13320" width="11.140625" style="671" bestFit="1" customWidth="1"/>
    <col min="13321" max="13321" width="15.42578125" style="671" bestFit="1" customWidth="1"/>
    <col min="13322" max="13324" width="11.42578125" style="671"/>
    <col min="13325" max="13325" width="31" style="671" customWidth="1"/>
    <col min="13326" max="13568" width="11.42578125" style="671"/>
    <col min="13569" max="13569" width="7.7109375" style="671" customWidth="1"/>
    <col min="13570" max="13570" width="32.140625" style="671" customWidth="1"/>
    <col min="13571" max="13571" width="10.7109375" style="671" customWidth="1"/>
    <col min="13572" max="13572" width="12.5703125" style="671" bestFit="1" customWidth="1"/>
    <col min="13573" max="13573" width="12.7109375" style="671" bestFit="1" customWidth="1"/>
    <col min="13574" max="13576" width="11.140625" style="671" bestFit="1" customWidth="1"/>
    <col min="13577" max="13577" width="15.42578125" style="671" bestFit="1" customWidth="1"/>
    <col min="13578" max="13580" width="11.42578125" style="671"/>
    <col min="13581" max="13581" width="31" style="671" customWidth="1"/>
    <col min="13582" max="13824" width="11.42578125" style="671"/>
    <col min="13825" max="13825" width="7.7109375" style="671" customWidth="1"/>
    <col min="13826" max="13826" width="32.140625" style="671" customWidth="1"/>
    <col min="13827" max="13827" width="10.7109375" style="671" customWidth="1"/>
    <col min="13828" max="13828" width="12.5703125" style="671" bestFit="1" customWidth="1"/>
    <col min="13829" max="13829" width="12.7109375" style="671" bestFit="1" customWidth="1"/>
    <col min="13830" max="13832" width="11.140625" style="671" bestFit="1" customWidth="1"/>
    <col min="13833" max="13833" width="15.42578125" style="671" bestFit="1" customWidth="1"/>
    <col min="13834" max="13836" width="11.42578125" style="671"/>
    <col min="13837" max="13837" width="31" style="671" customWidth="1"/>
    <col min="13838" max="14080" width="11.42578125" style="671"/>
    <col min="14081" max="14081" width="7.7109375" style="671" customWidth="1"/>
    <col min="14082" max="14082" width="32.140625" style="671" customWidth="1"/>
    <col min="14083" max="14083" width="10.7109375" style="671" customWidth="1"/>
    <col min="14084" max="14084" width="12.5703125" style="671" bestFit="1" customWidth="1"/>
    <col min="14085" max="14085" width="12.7109375" style="671" bestFit="1" customWidth="1"/>
    <col min="14086" max="14088" width="11.140625" style="671" bestFit="1" customWidth="1"/>
    <col min="14089" max="14089" width="15.42578125" style="671" bestFit="1" customWidth="1"/>
    <col min="14090" max="14092" width="11.42578125" style="671"/>
    <col min="14093" max="14093" width="31" style="671" customWidth="1"/>
    <col min="14094" max="14336" width="11.42578125" style="671"/>
    <col min="14337" max="14337" width="7.7109375" style="671" customWidth="1"/>
    <col min="14338" max="14338" width="32.140625" style="671" customWidth="1"/>
    <col min="14339" max="14339" width="10.7109375" style="671" customWidth="1"/>
    <col min="14340" max="14340" width="12.5703125" style="671" bestFit="1" customWidth="1"/>
    <col min="14341" max="14341" width="12.7109375" style="671" bestFit="1" customWidth="1"/>
    <col min="14342" max="14344" width="11.140625" style="671" bestFit="1" customWidth="1"/>
    <col min="14345" max="14345" width="15.42578125" style="671" bestFit="1" customWidth="1"/>
    <col min="14346" max="14348" width="11.42578125" style="671"/>
    <col min="14349" max="14349" width="31" style="671" customWidth="1"/>
    <col min="14350" max="14592" width="11.42578125" style="671"/>
    <col min="14593" max="14593" width="7.7109375" style="671" customWidth="1"/>
    <col min="14594" max="14594" width="32.140625" style="671" customWidth="1"/>
    <col min="14595" max="14595" width="10.7109375" style="671" customWidth="1"/>
    <col min="14596" max="14596" width="12.5703125" style="671" bestFit="1" customWidth="1"/>
    <col min="14597" max="14597" width="12.7109375" style="671" bestFit="1" customWidth="1"/>
    <col min="14598" max="14600" width="11.140625" style="671" bestFit="1" customWidth="1"/>
    <col min="14601" max="14601" width="15.42578125" style="671" bestFit="1" customWidth="1"/>
    <col min="14602" max="14604" width="11.42578125" style="671"/>
    <col min="14605" max="14605" width="31" style="671" customWidth="1"/>
    <col min="14606" max="14848" width="11.42578125" style="671"/>
    <col min="14849" max="14849" width="7.7109375" style="671" customWidth="1"/>
    <col min="14850" max="14850" width="32.140625" style="671" customWidth="1"/>
    <col min="14851" max="14851" width="10.7109375" style="671" customWidth="1"/>
    <col min="14852" max="14852" width="12.5703125" style="671" bestFit="1" customWidth="1"/>
    <col min="14853" max="14853" width="12.7109375" style="671" bestFit="1" customWidth="1"/>
    <col min="14854" max="14856" width="11.140625" style="671" bestFit="1" customWidth="1"/>
    <col min="14857" max="14857" width="15.42578125" style="671" bestFit="1" customWidth="1"/>
    <col min="14858" max="14860" width="11.42578125" style="671"/>
    <col min="14861" max="14861" width="31" style="671" customWidth="1"/>
    <col min="14862" max="15104" width="11.42578125" style="671"/>
    <col min="15105" max="15105" width="7.7109375" style="671" customWidth="1"/>
    <col min="15106" max="15106" width="32.140625" style="671" customWidth="1"/>
    <col min="15107" max="15107" width="10.7109375" style="671" customWidth="1"/>
    <col min="15108" max="15108" width="12.5703125" style="671" bestFit="1" customWidth="1"/>
    <col min="15109" max="15109" width="12.7109375" style="671" bestFit="1" customWidth="1"/>
    <col min="15110" max="15112" width="11.140625" style="671" bestFit="1" customWidth="1"/>
    <col min="15113" max="15113" width="15.42578125" style="671" bestFit="1" customWidth="1"/>
    <col min="15114" max="15116" width="11.42578125" style="671"/>
    <col min="15117" max="15117" width="31" style="671" customWidth="1"/>
    <col min="15118" max="15360" width="11.42578125" style="671"/>
    <col min="15361" max="15361" width="7.7109375" style="671" customWidth="1"/>
    <col min="15362" max="15362" width="32.140625" style="671" customWidth="1"/>
    <col min="15363" max="15363" width="10.7109375" style="671" customWidth="1"/>
    <col min="15364" max="15364" width="12.5703125" style="671" bestFit="1" customWidth="1"/>
    <col min="15365" max="15365" width="12.7109375" style="671" bestFit="1" customWidth="1"/>
    <col min="15366" max="15368" width="11.140625" style="671" bestFit="1" customWidth="1"/>
    <col min="15369" max="15369" width="15.42578125" style="671" bestFit="1" customWidth="1"/>
    <col min="15370" max="15372" width="11.42578125" style="671"/>
    <col min="15373" max="15373" width="31" style="671" customWidth="1"/>
    <col min="15374" max="15616" width="11.42578125" style="671"/>
    <col min="15617" max="15617" width="7.7109375" style="671" customWidth="1"/>
    <col min="15618" max="15618" width="32.140625" style="671" customWidth="1"/>
    <col min="15619" max="15619" width="10.7109375" style="671" customWidth="1"/>
    <col min="15620" max="15620" width="12.5703125" style="671" bestFit="1" customWidth="1"/>
    <col min="15621" max="15621" width="12.7109375" style="671" bestFit="1" customWidth="1"/>
    <col min="15622" max="15624" width="11.140625" style="671" bestFit="1" customWidth="1"/>
    <col min="15625" max="15625" width="15.42578125" style="671" bestFit="1" customWidth="1"/>
    <col min="15626" max="15628" width="11.42578125" style="671"/>
    <col min="15629" max="15629" width="31" style="671" customWidth="1"/>
    <col min="15630" max="15872" width="11.42578125" style="671"/>
    <col min="15873" max="15873" width="7.7109375" style="671" customWidth="1"/>
    <col min="15874" max="15874" width="32.140625" style="671" customWidth="1"/>
    <col min="15875" max="15875" width="10.7109375" style="671" customWidth="1"/>
    <col min="15876" max="15876" width="12.5703125" style="671" bestFit="1" customWidth="1"/>
    <col min="15877" max="15877" width="12.7109375" style="671" bestFit="1" customWidth="1"/>
    <col min="15878" max="15880" width="11.140625" style="671" bestFit="1" customWidth="1"/>
    <col min="15881" max="15881" width="15.42578125" style="671" bestFit="1" customWidth="1"/>
    <col min="15882" max="15884" width="11.42578125" style="671"/>
    <col min="15885" max="15885" width="31" style="671" customWidth="1"/>
    <col min="15886" max="16128" width="11.42578125" style="671"/>
    <col min="16129" max="16129" width="7.7109375" style="671" customWidth="1"/>
    <col min="16130" max="16130" width="32.140625" style="671" customWidth="1"/>
    <col min="16131" max="16131" width="10.7109375" style="671" customWidth="1"/>
    <col min="16132" max="16132" width="12.5703125" style="671" bestFit="1" customWidth="1"/>
    <col min="16133" max="16133" width="12.7109375" style="671" bestFit="1" customWidth="1"/>
    <col min="16134" max="16136" width="11.140625" style="671" bestFit="1" customWidth="1"/>
    <col min="16137" max="16137" width="15.42578125" style="671" bestFit="1" customWidth="1"/>
    <col min="16138" max="16140" width="11.42578125" style="671"/>
    <col min="16141" max="16141" width="31" style="671" customWidth="1"/>
    <col min="16142" max="16384" width="11.42578125" style="671"/>
  </cols>
  <sheetData>
    <row r="1" spans="1:9" ht="21" x14ac:dyDescent="0.35">
      <c r="A1" s="1037" t="s">
        <v>1089</v>
      </c>
    </row>
    <row r="2" spans="1:9" ht="16.5" thickBot="1" x14ac:dyDescent="0.3">
      <c r="A2" s="1456" t="s">
        <v>238</v>
      </c>
      <c r="B2" s="1456"/>
      <c r="C2" s="1456"/>
      <c r="D2" s="953"/>
      <c r="E2" s="1457"/>
      <c r="F2" s="1458"/>
      <c r="G2" s="1459"/>
      <c r="H2" s="953"/>
      <c r="I2" s="953"/>
    </row>
    <row r="3" spans="1:9" x14ac:dyDescent="0.25">
      <c r="A3" s="1042" t="s">
        <v>1090</v>
      </c>
      <c r="B3" s="1043"/>
      <c r="C3" s="1044">
        <v>2006</v>
      </c>
      <c r="D3" s="1044">
        <v>2007</v>
      </c>
      <c r="E3" s="1044">
        <f>D3+1</f>
        <v>2008</v>
      </c>
      <c r="F3" s="1044">
        <f>E3+1</f>
        <v>2009</v>
      </c>
      <c r="G3" s="1045">
        <f>F3+1</f>
        <v>2010</v>
      </c>
      <c r="H3" s="1046">
        <f>G3+1</f>
        <v>2011</v>
      </c>
      <c r="I3" s="729" t="s">
        <v>1091</v>
      </c>
    </row>
    <row r="4" spans="1:9" x14ac:dyDescent="0.25">
      <c r="A4" s="1047" t="s">
        <v>240</v>
      </c>
      <c r="B4" s="1048"/>
      <c r="C4" s="1049">
        <v>24</v>
      </c>
      <c r="D4" s="1049">
        <v>28</v>
      </c>
      <c r="E4" s="1049">
        <v>28</v>
      </c>
      <c r="F4" s="1049">
        <v>28</v>
      </c>
      <c r="G4" s="1049">
        <v>28</v>
      </c>
      <c r="H4" s="1049">
        <v>28</v>
      </c>
      <c r="I4" s="1050">
        <v>28</v>
      </c>
    </row>
    <row r="5" spans="1:9" x14ac:dyDescent="0.25">
      <c r="A5" s="1051" t="s">
        <v>241</v>
      </c>
      <c r="B5" s="1052"/>
      <c r="C5" s="1053">
        <v>62</v>
      </c>
      <c r="D5" s="1053">
        <v>62</v>
      </c>
      <c r="E5" s="1053">
        <v>62</v>
      </c>
      <c r="F5" s="1053">
        <v>62</v>
      </c>
      <c r="G5" s="1053">
        <v>62</v>
      </c>
      <c r="H5" s="1053">
        <v>62</v>
      </c>
      <c r="I5" s="1054">
        <v>62</v>
      </c>
    </row>
    <row r="6" spans="1:9" x14ac:dyDescent="0.25">
      <c r="A6" s="1055" t="s">
        <v>242</v>
      </c>
      <c r="B6" s="1056"/>
      <c r="C6" s="1057"/>
      <c r="D6" s="1057">
        <f>-D18+C6</f>
        <v>-7</v>
      </c>
      <c r="E6" s="1057">
        <f>-E18+D6</f>
        <v>-14</v>
      </c>
      <c r="F6" s="1057">
        <f>-F18+E6</f>
        <v>-21</v>
      </c>
      <c r="G6" s="1057">
        <f>-G18+F6</f>
        <v>-28</v>
      </c>
      <c r="H6" s="1057">
        <f>-H18+G6</f>
        <v>-35</v>
      </c>
      <c r="I6" s="763"/>
    </row>
    <row r="7" spans="1:9" x14ac:dyDescent="0.25">
      <c r="A7" s="1058" t="s">
        <v>243</v>
      </c>
      <c r="B7" s="1059"/>
      <c r="C7" s="1060">
        <f t="shared" ref="C7:H7" si="0">C5+C6</f>
        <v>62</v>
      </c>
      <c r="D7" s="1060">
        <f t="shared" si="0"/>
        <v>55</v>
      </c>
      <c r="E7" s="1060">
        <f t="shared" si="0"/>
        <v>48</v>
      </c>
      <c r="F7" s="1060">
        <f t="shared" si="0"/>
        <v>41</v>
      </c>
      <c r="G7" s="1060">
        <f t="shared" si="0"/>
        <v>34</v>
      </c>
      <c r="H7" s="1060">
        <f t="shared" si="0"/>
        <v>27</v>
      </c>
      <c r="I7" s="1061">
        <v>27</v>
      </c>
    </row>
    <row r="8" spans="1:9" x14ac:dyDescent="0.25">
      <c r="A8" s="1062" t="s">
        <v>244</v>
      </c>
      <c r="B8" s="1063"/>
      <c r="C8" s="1064">
        <f t="shared" ref="C8:I8" si="1">+C4+C7</f>
        <v>86</v>
      </c>
      <c r="D8" s="1064">
        <f t="shared" si="1"/>
        <v>83</v>
      </c>
      <c r="E8" s="1064">
        <f t="shared" si="1"/>
        <v>76</v>
      </c>
      <c r="F8" s="1064">
        <f t="shared" si="1"/>
        <v>69</v>
      </c>
      <c r="G8" s="1064">
        <f t="shared" si="1"/>
        <v>62</v>
      </c>
      <c r="H8" s="1064">
        <f t="shared" si="1"/>
        <v>55</v>
      </c>
      <c r="I8" s="1065">
        <f t="shared" si="1"/>
        <v>55</v>
      </c>
    </row>
    <row r="9" spans="1:9" x14ac:dyDescent="0.25">
      <c r="A9" s="1066"/>
      <c r="B9" s="1067"/>
      <c r="C9" s="1068"/>
      <c r="D9" s="1068"/>
      <c r="E9" s="1068"/>
      <c r="F9" s="1068"/>
      <c r="G9" s="1068"/>
      <c r="H9" s="768"/>
      <c r="I9" s="763"/>
    </row>
    <row r="10" spans="1:9" x14ac:dyDescent="0.25">
      <c r="A10" s="1069"/>
      <c r="B10" s="1070"/>
      <c r="C10" s="1071"/>
      <c r="D10" s="1071"/>
      <c r="E10" s="1071"/>
      <c r="F10" s="1071"/>
      <c r="G10" s="1071"/>
      <c r="H10" s="1072"/>
      <c r="I10" s="1073"/>
    </row>
    <row r="11" spans="1:9" x14ac:dyDescent="0.25">
      <c r="A11" s="1074" t="s">
        <v>245</v>
      </c>
      <c r="B11" s="1075"/>
      <c r="C11" s="1076"/>
      <c r="D11" s="1076"/>
      <c r="E11" s="1076"/>
      <c r="F11" s="1076"/>
      <c r="G11" s="1076"/>
      <c r="H11" s="1076"/>
      <c r="I11" s="1077"/>
    </row>
    <row r="12" spans="1:9" x14ac:dyDescent="0.25">
      <c r="A12" s="1074" t="s">
        <v>246</v>
      </c>
      <c r="B12" s="1075"/>
      <c r="C12" s="1057">
        <v>86</v>
      </c>
      <c r="D12" s="1057">
        <f t="shared" ref="D12:I12" si="2">+D8</f>
        <v>83</v>
      </c>
      <c r="E12" s="1057">
        <f t="shared" si="2"/>
        <v>76</v>
      </c>
      <c r="F12" s="1057">
        <f t="shared" si="2"/>
        <v>69</v>
      </c>
      <c r="G12" s="1057">
        <f t="shared" si="2"/>
        <v>62</v>
      </c>
      <c r="H12" s="1057">
        <f t="shared" si="2"/>
        <v>55</v>
      </c>
      <c r="I12" s="1260">
        <f t="shared" si="2"/>
        <v>55</v>
      </c>
    </row>
    <row r="13" spans="1:9" ht="16.5" thickBot="1" x14ac:dyDescent="0.3">
      <c r="A13" s="1078" t="s">
        <v>247</v>
      </c>
      <c r="B13" s="1079"/>
      <c r="C13" s="1080">
        <f t="shared" ref="C13:I13" si="3">C10+C11+C12</f>
        <v>86</v>
      </c>
      <c r="D13" s="1080">
        <f t="shared" si="3"/>
        <v>83</v>
      </c>
      <c r="E13" s="1080">
        <f t="shared" si="3"/>
        <v>76</v>
      </c>
      <c r="F13" s="1080">
        <f t="shared" si="3"/>
        <v>69</v>
      </c>
      <c r="G13" s="1080">
        <f t="shared" si="3"/>
        <v>62</v>
      </c>
      <c r="H13" s="1080">
        <f t="shared" si="3"/>
        <v>55</v>
      </c>
      <c r="I13" s="1081">
        <f t="shared" si="3"/>
        <v>55</v>
      </c>
    </row>
    <row r="14" spans="1:9" ht="16.5" thickBot="1" x14ac:dyDescent="0.3">
      <c r="A14" s="1067"/>
      <c r="B14" s="1041"/>
      <c r="C14" s="1082"/>
      <c r="D14" s="1083"/>
      <c r="E14" s="1083"/>
      <c r="F14" s="1083"/>
      <c r="G14" s="1083"/>
      <c r="H14" s="671"/>
    </row>
    <row r="15" spans="1:9" ht="16.5" thickBot="1" x14ac:dyDescent="0.3">
      <c r="A15" s="1453" t="s">
        <v>248</v>
      </c>
      <c r="B15" s="1454"/>
      <c r="C15" s="1455"/>
      <c r="D15" s="1455"/>
      <c r="E15" s="1455"/>
      <c r="F15" s="1455"/>
      <c r="G15" s="1455"/>
      <c r="H15" s="1250"/>
      <c r="I15" s="1253"/>
    </row>
    <row r="16" spans="1:9" x14ac:dyDescent="0.25">
      <c r="A16" s="1042" t="s">
        <v>1090</v>
      </c>
      <c r="B16" s="1087"/>
      <c r="C16" s="1088">
        <v>0</v>
      </c>
      <c r="D16" s="1088">
        <v>1</v>
      </c>
      <c r="E16" s="1088">
        <f>D16+1</f>
        <v>2</v>
      </c>
      <c r="F16" s="1088">
        <f>E16+1</f>
        <v>3</v>
      </c>
      <c r="G16" s="1088">
        <f>F16+1</f>
        <v>4</v>
      </c>
      <c r="H16" s="1088">
        <f>G16+1</f>
        <v>5</v>
      </c>
      <c r="I16" s="1089" t="str">
        <f>+I3</f>
        <v>Vresidual</v>
      </c>
    </row>
    <row r="17" spans="1:9" x14ac:dyDescent="0.25">
      <c r="A17" s="860" t="s">
        <v>249</v>
      </c>
      <c r="B17" s="808"/>
      <c r="C17" s="1090"/>
      <c r="D17" s="1091">
        <v>39</v>
      </c>
      <c r="E17" s="1091">
        <v>39</v>
      </c>
      <c r="F17" s="1091">
        <v>39</v>
      </c>
      <c r="G17" s="1091">
        <v>39</v>
      </c>
      <c r="H17" s="1091">
        <v>39</v>
      </c>
      <c r="I17" s="1092">
        <f>+H17*(1+$I$26)/+($C$63-$I$26)</f>
        <v>262.60000000000002</v>
      </c>
    </row>
    <row r="18" spans="1:9" x14ac:dyDescent="0.25">
      <c r="A18" s="1074" t="s">
        <v>250</v>
      </c>
      <c r="B18" s="1093"/>
      <c r="C18" s="1094"/>
      <c r="D18" s="1076">
        <v>7</v>
      </c>
      <c r="E18" s="1076">
        <v>7</v>
      </c>
      <c r="F18" s="1076">
        <v>7</v>
      </c>
      <c r="G18" s="1076">
        <v>7</v>
      </c>
      <c r="H18" s="1076">
        <v>7</v>
      </c>
      <c r="I18" s="1092">
        <f>+H18*(1+$I$26)/+($C$63-$I$26)</f>
        <v>47.13333333333334</v>
      </c>
    </row>
    <row r="19" spans="1:9" x14ac:dyDescent="0.25">
      <c r="A19" s="1095" t="s">
        <v>251</v>
      </c>
      <c r="B19" s="1096"/>
      <c r="C19" s="1097"/>
      <c r="D19" s="1098">
        <f t="shared" ref="D19:I19" si="4">+D17-D18</f>
        <v>32</v>
      </c>
      <c r="E19" s="1098">
        <f t="shared" si="4"/>
        <v>32</v>
      </c>
      <c r="F19" s="1098">
        <f t="shared" si="4"/>
        <v>32</v>
      </c>
      <c r="G19" s="1098">
        <f t="shared" si="4"/>
        <v>32</v>
      </c>
      <c r="H19" s="1098">
        <f t="shared" si="4"/>
        <v>32</v>
      </c>
      <c r="I19" s="1099">
        <f t="shared" si="4"/>
        <v>215.4666666666667</v>
      </c>
    </row>
    <row r="20" spans="1:9" x14ac:dyDescent="0.25">
      <c r="A20" s="860" t="s">
        <v>252</v>
      </c>
      <c r="B20" s="808"/>
      <c r="C20" s="1100"/>
      <c r="D20" s="1076"/>
      <c r="E20" s="1076"/>
      <c r="F20" s="1076"/>
      <c r="G20" s="1101"/>
      <c r="H20" s="1102"/>
      <c r="I20" s="1103">
        <f>H20*(1+$I$26)</f>
        <v>0</v>
      </c>
    </row>
    <row r="21" spans="1:9" x14ac:dyDescent="0.25">
      <c r="A21" s="1104" t="s">
        <v>253</v>
      </c>
      <c r="B21" s="1105"/>
      <c r="C21" s="1106"/>
      <c r="D21" s="1107">
        <f t="shared" ref="D21:I21" si="5">+D19-D20</f>
        <v>32</v>
      </c>
      <c r="E21" s="1107">
        <f t="shared" si="5"/>
        <v>32</v>
      </c>
      <c r="F21" s="1107">
        <f t="shared" si="5"/>
        <v>32</v>
      </c>
      <c r="G21" s="1107">
        <f t="shared" si="5"/>
        <v>32</v>
      </c>
      <c r="H21" s="1107">
        <f t="shared" si="5"/>
        <v>32</v>
      </c>
      <c r="I21" s="1108">
        <f t="shared" si="5"/>
        <v>215.4666666666667</v>
      </c>
    </row>
    <row r="22" spans="1:9" x14ac:dyDescent="0.25">
      <c r="A22" s="860" t="s">
        <v>254</v>
      </c>
      <c r="B22" s="808"/>
      <c r="C22" s="1100"/>
      <c r="D22" s="1076">
        <f t="shared" ref="D22:I22" si="6">D21*D27</f>
        <v>8</v>
      </c>
      <c r="E22" s="1076">
        <f t="shared" si="6"/>
        <v>8</v>
      </c>
      <c r="F22" s="1076">
        <f t="shared" si="6"/>
        <v>8</v>
      </c>
      <c r="G22" s="1076">
        <f t="shared" si="6"/>
        <v>8</v>
      </c>
      <c r="H22" s="1076">
        <f t="shared" si="6"/>
        <v>8</v>
      </c>
      <c r="I22" s="1109">
        <f t="shared" si="6"/>
        <v>53.866666666666674</v>
      </c>
    </row>
    <row r="23" spans="1:9" x14ac:dyDescent="0.25">
      <c r="A23" s="1110" t="s">
        <v>255</v>
      </c>
      <c r="B23" s="1111"/>
      <c r="C23" s="1112"/>
      <c r="D23" s="1113">
        <f t="shared" ref="D23:I23" si="7">D21-D22</f>
        <v>24</v>
      </c>
      <c r="E23" s="1113">
        <f t="shared" si="7"/>
        <v>24</v>
      </c>
      <c r="F23" s="1113">
        <f t="shared" si="7"/>
        <v>24</v>
      </c>
      <c r="G23" s="1113">
        <f t="shared" si="7"/>
        <v>24</v>
      </c>
      <c r="H23" s="1114">
        <f t="shared" si="7"/>
        <v>24</v>
      </c>
      <c r="I23" s="1115">
        <f t="shared" si="7"/>
        <v>161.60000000000002</v>
      </c>
    </row>
    <row r="24" spans="1:9" x14ac:dyDescent="0.25">
      <c r="A24" s="766"/>
      <c r="B24" s="768"/>
      <c r="C24" s="768"/>
      <c r="D24" s="768"/>
      <c r="E24" s="768"/>
      <c r="F24" s="768"/>
      <c r="G24" s="768"/>
      <c r="H24" s="768"/>
      <c r="I24" s="763"/>
    </row>
    <row r="25" spans="1:9" x14ac:dyDescent="0.25">
      <c r="A25" s="1116" t="s">
        <v>1092</v>
      </c>
      <c r="B25" s="810"/>
      <c r="C25" s="1117"/>
      <c r="D25" s="1117">
        <v>31</v>
      </c>
      <c r="E25" s="1117">
        <v>31</v>
      </c>
      <c r="F25" s="1117">
        <v>31</v>
      </c>
      <c r="G25" s="1117">
        <v>31</v>
      </c>
      <c r="H25" s="1117">
        <v>31</v>
      </c>
      <c r="I25" s="1118">
        <f>+I23+I18</f>
        <v>208.73333333333335</v>
      </c>
    </row>
    <row r="26" spans="1:9" x14ac:dyDescent="0.25">
      <c r="A26" s="749" t="s">
        <v>1093</v>
      </c>
      <c r="B26" s="707"/>
      <c r="C26" s="707"/>
      <c r="D26" s="1119">
        <v>0</v>
      </c>
      <c r="E26" s="1119">
        <v>0</v>
      </c>
      <c r="F26" s="1119">
        <v>0</v>
      </c>
      <c r="G26" s="1119">
        <v>0</v>
      </c>
      <c r="H26" s="1119">
        <v>0</v>
      </c>
      <c r="I26" s="1120">
        <v>0.01</v>
      </c>
    </row>
    <row r="27" spans="1:9" ht="16.5" thickBot="1" x14ac:dyDescent="0.3">
      <c r="A27" s="1121" t="s">
        <v>259</v>
      </c>
      <c r="B27" s="1122"/>
      <c r="C27" s="1122"/>
      <c r="D27" s="1123">
        <v>0.25</v>
      </c>
      <c r="E27" s="1123">
        <v>0.25</v>
      </c>
      <c r="F27" s="1123">
        <v>0.25</v>
      </c>
      <c r="G27" s="1123">
        <v>0.25</v>
      </c>
      <c r="H27" s="1123">
        <v>0.25</v>
      </c>
      <c r="I27" s="1124">
        <v>0.25</v>
      </c>
    </row>
    <row r="28" spans="1:9" ht="16.5" thickBot="1" x14ac:dyDescent="0.3">
      <c r="A28" s="671"/>
      <c r="B28" s="671"/>
      <c r="C28" s="671"/>
      <c r="D28" s="671"/>
      <c r="E28" s="671"/>
      <c r="F28" s="671"/>
      <c r="G28" s="671"/>
      <c r="H28" s="671"/>
    </row>
    <row r="29" spans="1:9" x14ac:dyDescent="0.25">
      <c r="A29" s="325" t="s">
        <v>280</v>
      </c>
      <c r="B29" s="1125"/>
      <c r="C29" s="1046">
        <v>0</v>
      </c>
      <c r="D29" s="1046">
        <v>1</v>
      </c>
      <c r="E29" s="1046">
        <f>D29+1</f>
        <v>2</v>
      </c>
      <c r="F29" s="1046">
        <f>E29+1</f>
        <v>3</v>
      </c>
      <c r="G29" s="1046">
        <f>F29+1</f>
        <v>4</v>
      </c>
      <c r="H29" s="1046">
        <f>G29+1</f>
        <v>5</v>
      </c>
      <c r="I29" s="1126" t="str">
        <f>+I16</f>
        <v>Vresidual</v>
      </c>
    </row>
    <row r="30" spans="1:9" x14ac:dyDescent="0.25">
      <c r="A30" s="309"/>
      <c r="B30" s="298"/>
      <c r="C30" s="1082"/>
      <c r="D30" s="1082"/>
      <c r="E30" s="1082"/>
      <c r="F30" s="1082"/>
      <c r="G30" s="1082"/>
      <c r="H30" s="1082"/>
      <c r="I30" s="1127"/>
    </row>
    <row r="31" spans="1:9" x14ac:dyDescent="0.25">
      <c r="A31" s="766" t="s">
        <v>281</v>
      </c>
      <c r="B31" s="768"/>
      <c r="C31" s="768"/>
      <c r="D31" s="1128">
        <f>+D19</f>
        <v>32</v>
      </c>
      <c r="E31" s="1128">
        <f>+E19</f>
        <v>32</v>
      </c>
      <c r="F31" s="1128">
        <f>+F19</f>
        <v>32</v>
      </c>
      <c r="G31" s="1128">
        <f>+G19</f>
        <v>32</v>
      </c>
      <c r="H31" s="1128">
        <f>+H19</f>
        <v>32</v>
      </c>
      <c r="I31" s="1092">
        <f>+H31*(1+$I$26)/+($C$63-$I$26)</f>
        <v>215.46666666666667</v>
      </c>
    </row>
    <row r="32" spans="1:9" x14ac:dyDescent="0.25">
      <c r="A32" s="766" t="s">
        <v>282</v>
      </c>
      <c r="B32" s="768"/>
      <c r="C32" s="768"/>
      <c r="D32" s="1128">
        <f>+D18</f>
        <v>7</v>
      </c>
      <c r="E32" s="1128">
        <f>+E18</f>
        <v>7</v>
      </c>
      <c r="F32" s="1128">
        <f>+F18</f>
        <v>7</v>
      </c>
      <c r="G32" s="1128">
        <f>+G18</f>
        <v>7</v>
      </c>
      <c r="H32" s="1128">
        <f>+H18</f>
        <v>7</v>
      </c>
      <c r="I32" s="1092">
        <f>+H32*(1+$I$26)/+($C$63-$I$26)</f>
        <v>47.13333333333334</v>
      </c>
    </row>
    <row r="33" spans="1:9" x14ac:dyDescent="0.25">
      <c r="A33" s="766" t="s">
        <v>283</v>
      </c>
      <c r="B33" s="768"/>
      <c r="C33" s="768"/>
      <c r="D33" s="1128">
        <f t="shared" ref="D33:I33" si="8">-D5+C5</f>
        <v>0</v>
      </c>
      <c r="E33" s="1128">
        <f t="shared" si="8"/>
        <v>0</v>
      </c>
      <c r="F33" s="1128">
        <f t="shared" si="8"/>
        <v>0</v>
      </c>
      <c r="G33" s="1128">
        <f t="shared" si="8"/>
        <v>0</v>
      </c>
      <c r="H33" s="1128">
        <f t="shared" si="8"/>
        <v>0</v>
      </c>
      <c r="I33" s="1092">
        <f t="shared" si="8"/>
        <v>0</v>
      </c>
    </row>
    <row r="34" spans="1:9" x14ac:dyDescent="0.25">
      <c r="A34" s="766" t="s">
        <v>284</v>
      </c>
      <c r="B34" s="768"/>
      <c r="C34" s="768"/>
      <c r="D34" s="1128">
        <f t="shared" ref="D34:I34" si="9">+C4-D4</f>
        <v>-4</v>
      </c>
      <c r="E34" s="1128">
        <f t="shared" si="9"/>
        <v>0</v>
      </c>
      <c r="F34" s="1128">
        <f t="shared" si="9"/>
        <v>0</v>
      </c>
      <c r="G34" s="1128">
        <f t="shared" si="9"/>
        <v>0</v>
      </c>
      <c r="H34" s="1128">
        <f t="shared" si="9"/>
        <v>0</v>
      </c>
      <c r="I34" s="1092">
        <f t="shared" si="9"/>
        <v>0</v>
      </c>
    </row>
    <row r="35" spans="1:9" x14ac:dyDescent="0.25">
      <c r="A35" s="1236" t="s">
        <v>285</v>
      </c>
      <c r="B35" s="1237"/>
      <c r="C35" s="1237"/>
      <c r="D35" s="1460">
        <f t="shared" ref="D35:I35" si="10">SUM(D31:D34)</f>
        <v>35</v>
      </c>
      <c r="E35" s="1460">
        <f t="shared" si="10"/>
        <v>39</v>
      </c>
      <c r="F35" s="1460">
        <f t="shared" si="10"/>
        <v>39</v>
      </c>
      <c r="G35" s="1460">
        <f t="shared" si="10"/>
        <v>39</v>
      </c>
      <c r="H35" s="1460">
        <f t="shared" si="10"/>
        <v>39</v>
      </c>
      <c r="I35" s="1461">
        <f t="shared" si="10"/>
        <v>262.60000000000002</v>
      </c>
    </row>
    <row r="36" spans="1:9" x14ac:dyDescent="0.25">
      <c r="A36" s="766" t="s">
        <v>286</v>
      </c>
      <c r="B36" s="768"/>
      <c r="C36" s="768"/>
      <c r="D36" s="1128">
        <f t="shared" ref="D36:I36" si="11">-D31*D27</f>
        <v>-8</v>
      </c>
      <c r="E36" s="1128">
        <f t="shared" si="11"/>
        <v>-8</v>
      </c>
      <c r="F36" s="1128">
        <f t="shared" si="11"/>
        <v>-8</v>
      </c>
      <c r="G36" s="1128">
        <f t="shared" si="11"/>
        <v>-8</v>
      </c>
      <c r="H36" s="1128">
        <f t="shared" si="11"/>
        <v>-8</v>
      </c>
      <c r="I36" s="1092">
        <f t="shared" si="11"/>
        <v>-53.866666666666667</v>
      </c>
    </row>
    <row r="37" spans="1:9" ht="16.5" thickBot="1" x14ac:dyDescent="0.3">
      <c r="A37" s="1131" t="s">
        <v>287</v>
      </c>
      <c r="B37" s="1132"/>
      <c r="C37" s="1132"/>
      <c r="D37" s="1133">
        <f t="shared" ref="D37:I37" si="12">+D35+D36</f>
        <v>27</v>
      </c>
      <c r="E37" s="1133">
        <f t="shared" si="12"/>
        <v>31</v>
      </c>
      <c r="F37" s="1133">
        <f t="shared" si="12"/>
        <v>31</v>
      </c>
      <c r="G37" s="1133">
        <f t="shared" si="12"/>
        <v>31</v>
      </c>
      <c r="H37" s="1133">
        <f t="shared" si="12"/>
        <v>31</v>
      </c>
      <c r="I37" s="1134">
        <f t="shared" si="12"/>
        <v>208.73333333333335</v>
      </c>
    </row>
    <row r="38" spans="1:9" ht="16.5" thickBot="1" x14ac:dyDescent="0.3">
      <c r="A38" s="671"/>
      <c r="B38" s="671"/>
      <c r="H38" s="671"/>
    </row>
    <row r="39" spans="1:9" x14ac:dyDescent="0.25">
      <c r="A39" s="325" t="s">
        <v>1094</v>
      </c>
      <c r="B39" s="1125"/>
      <c r="C39" s="1046">
        <v>0</v>
      </c>
      <c r="D39" s="1046">
        <v>1</v>
      </c>
      <c r="E39" s="1046">
        <f>D39+1</f>
        <v>2</v>
      </c>
      <c r="F39" s="1046">
        <f>E39+1</f>
        <v>3</v>
      </c>
      <c r="G39" s="1046">
        <f>F39+1</f>
        <v>4</v>
      </c>
      <c r="H39" s="1046">
        <f>G39+1</f>
        <v>5</v>
      </c>
      <c r="I39" s="1126" t="str">
        <f>+I29</f>
        <v>Vresidual</v>
      </c>
    </row>
    <row r="40" spans="1:9" x14ac:dyDescent="0.25">
      <c r="A40" s="309"/>
      <c r="B40" s="298"/>
      <c r="C40" s="1082"/>
      <c r="D40" s="1082"/>
      <c r="E40" s="1082"/>
      <c r="F40" s="1082"/>
      <c r="G40" s="1082"/>
      <c r="H40" s="1082"/>
      <c r="I40" s="1127"/>
    </row>
    <row r="41" spans="1:9" x14ac:dyDescent="0.25">
      <c r="A41" s="766" t="s">
        <v>290</v>
      </c>
      <c r="B41" s="768"/>
      <c r="C41" s="768"/>
      <c r="D41" s="1128">
        <f t="shared" ref="D41:I41" si="13">+D23</f>
        <v>24</v>
      </c>
      <c r="E41" s="1128">
        <f t="shared" si="13"/>
        <v>24</v>
      </c>
      <c r="F41" s="1128">
        <f t="shared" si="13"/>
        <v>24</v>
      </c>
      <c r="G41" s="1128">
        <f t="shared" si="13"/>
        <v>24</v>
      </c>
      <c r="H41" s="1128">
        <f t="shared" si="13"/>
        <v>24</v>
      </c>
      <c r="I41" s="1092">
        <f t="shared" si="13"/>
        <v>161.60000000000002</v>
      </c>
    </row>
    <row r="42" spans="1:9" x14ac:dyDescent="0.25">
      <c r="A42" s="766" t="s">
        <v>282</v>
      </c>
      <c r="B42" s="768"/>
      <c r="C42" s="768"/>
      <c r="D42" s="1128">
        <f t="shared" ref="D42:I42" si="14">+D18</f>
        <v>7</v>
      </c>
      <c r="E42" s="1128">
        <f t="shared" si="14"/>
        <v>7</v>
      </c>
      <c r="F42" s="1128">
        <f t="shared" si="14"/>
        <v>7</v>
      </c>
      <c r="G42" s="1128">
        <f t="shared" si="14"/>
        <v>7</v>
      </c>
      <c r="H42" s="1128">
        <f t="shared" si="14"/>
        <v>7</v>
      </c>
      <c r="I42" s="1092">
        <f t="shared" si="14"/>
        <v>47.13333333333334</v>
      </c>
    </row>
    <row r="43" spans="1:9" x14ac:dyDescent="0.25">
      <c r="A43" s="766" t="s">
        <v>283</v>
      </c>
      <c r="B43" s="768"/>
      <c r="C43" s="768"/>
      <c r="D43" s="1128">
        <f t="shared" ref="D43:I43" si="15">-D5+C5</f>
        <v>0</v>
      </c>
      <c r="E43" s="1128">
        <f t="shared" si="15"/>
        <v>0</v>
      </c>
      <c r="F43" s="1128">
        <f t="shared" si="15"/>
        <v>0</v>
      </c>
      <c r="G43" s="1128">
        <f t="shared" si="15"/>
        <v>0</v>
      </c>
      <c r="H43" s="1128">
        <f t="shared" si="15"/>
        <v>0</v>
      </c>
      <c r="I43" s="1092">
        <f t="shared" si="15"/>
        <v>0</v>
      </c>
    </row>
    <row r="44" spans="1:9" x14ac:dyDescent="0.25">
      <c r="A44" s="766" t="s">
        <v>284</v>
      </c>
      <c r="B44" s="768"/>
      <c r="C44" s="768"/>
      <c r="D44" s="1128">
        <f t="shared" ref="D44:I44" si="16">+D34</f>
        <v>-4</v>
      </c>
      <c r="E44" s="1128">
        <f t="shared" si="16"/>
        <v>0</v>
      </c>
      <c r="F44" s="1128">
        <f t="shared" si="16"/>
        <v>0</v>
      </c>
      <c r="G44" s="1128">
        <f t="shared" si="16"/>
        <v>0</v>
      </c>
      <c r="H44" s="1128">
        <f t="shared" si="16"/>
        <v>0</v>
      </c>
      <c r="I44" s="1092">
        <f t="shared" si="16"/>
        <v>0</v>
      </c>
    </row>
    <row r="45" spans="1:9" x14ac:dyDescent="0.25">
      <c r="A45" s="766" t="s">
        <v>291</v>
      </c>
      <c r="B45" s="768"/>
      <c r="C45" s="768"/>
      <c r="D45" s="1128">
        <f t="shared" ref="D45:I45" si="17">+D11-C11</f>
        <v>0</v>
      </c>
      <c r="E45" s="1128">
        <f t="shared" si="17"/>
        <v>0</v>
      </c>
      <c r="F45" s="1128">
        <f t="shared" si="17"/>
        <v>0</v>
      </c>
      <c r="G45" s="1128">
        <f t="shared" si="17"/>
        <v>0</v>
      </c>
      <c r="H45" s="1128">
        <f t="shared" si="17"/>
        <v>0</v>
      </c>
      <c r="I45" s="1092">
        <f t="shared" si="17"/>
        <v>0</v>
      </c>
    </row>
    <row r="46" spans="1:9" x14ac:dyDescent="0.25">
      <c r="A46" s="1135" t="s">
        <v>292</v>
      </c>
      <c r="B46" s="1136"/>
      <c r="C46" s="1136"/>
      <c r="D46" s="1129">
        <f t="shared" ref="D46:I46" si="18">SUM(D41:D45)</f>
        <v>27</v>
      </c>
      <c r="E46" s="1129">
        <f t="shared" si="18"/>
        <v>31</v>
      </c>
      <c r="F46" s="1129">
        <f t="shared" si="18"/>
        <v>31</v>
      </c>
      <c r="G46" s="1129">
        <f t="shared" si="18"/>
        <v>31</v>
      </c>
      <c r="H46" s="1129">
        <f t="shared" si="18"/>
        <v>31</v>
      </c>
      <c r="I46" s="1130">
        <f t="shared" si="18"/>
        <v>208.73333333333335</v>
      </c>
    </row>
    <row r="47" spans="1:9" x14ac:dyDescent="0.25">
      <c r="A47" s="766" t="s">
        <v>291</v>
      </c>
      <c r="B47" s="768"/>
      <c r="C47" s="768"/>
      <c r="D47" s="1128">
        <f t="shared" ref="D47:I47" si="19">-D45</f>
        <v>0</v>
      </c>
      <c r="E47" s="1128">
        <f t="shared" si="19"/>
        <v>0</v>
      </c>
      <c r="F47" s="1128">
        <f t="shared" si="19"/>
        <v>0</v>
      </c>
      <c r="G47" s="1128">
        <f t="shared" si="19"/>
        <v>0</v>
      </c>
      <c r="H47" s="1128">
        <f t="shared" si="19"/>
        <v>0</v>
      </c>
      <c r="I47" s="1092">
        <f t="shared" si="19"/>
        <v>0</v>
      </c>
    </row>
    <row r="48" spans="1:9" x14ac:dyDescent="0.25">
      <c r="A48" s="766" t="s">
        <v>252</v>
      </c>
      <c r="B48" s="768"/>
      <c r="C48" s="768"/>
      <c r="D48" s="1128">
        <f t="shared" ref="D48:I48" si="20">+D20</f>
        <v>0</v>
      </c>
      <c r="E48" s="1128">
        <f t="shared" si="20"/>
        <v>0</v>
      </c>
      <c r="F48" s="1128">
        <f t="shared" si="20"/>
        <v>0</v>
      </c>
      <c r="G48" s="1128">
        <f t="shared" si="20"/>
        <v>0</v>
      </c>
      <c r="H48" s="1128">
        <f t="shared" si="20"/>
        <v>0</v>
      </c>
      <c r="I48" s="1092">
        <f t="shared" si="20"/>
        <v>0</v>
      </c>
    </row>
    <row r="49" spans="1:9" ht="16.5" thickBot="1" x14ac:dyDescent="0.3">
      <c r="A49" s="1131" t="s">
        <v>293</v>
      </c>
      <c r="B49" s="1132"/>
      <c r="C49" s="1132"/>
      <c r="D49" s="1133">
        <f t="shared" ref="D49:I49" si="21">SUM(D46:D48)</f>
        <v>27</v>
      </c>
      <c r="E49" s="1133">
        <f t="shared" si="21"/>
        <v>31</v>
      </c>
      <c r="F49" s="1133">
        <f t="shared" si="21"/>
        <v>31</v>
      </c>
      <c r="G49" s="1133">
        <f t="shared" si="21"/>
        <v>31</v>
      </c>
      <c r="H49" s="1133">
        <f t="shared" si="21"/>
        <v>31</v>
      </c>
      <c r="I49" s="1134">
        <f t="shared" si="21"/>
        <v>208.73333333333335</v>
      </c>
    </row>
    <row r="50" spans="1:9" x14ac:dyDescent="0.25">
      <c r="A50" s="671"/>
      <c r="B50" s="671"/>
      <c r="C50" s="671"/>
      <c r="D50" s="671"/>
      <c r="E50" s="671"/>
      <c r="F50" s="671"/>
      <c r="G50" s="671"/>
      <c r="H50" s="671"/>
    </row>
    <row r="51" spans="1:9" x14ac:dyDescent="0.25">
      <c r="A51" s="671"/>
      <c r="B51" s="671"/>
      <c r="C51" s="671"/>
      <c r="D51" s="671"/>
      <c r="E51" s="671"/>
      <c r="F51" s="671"/>
      <c r="G51" s="671"/>
      <c r="H51" s="671"/>
    </row>
    <row r="52" spans="1:9" x14ac:dyDescent="0.25">
      <c r="A52" s="977" t="s">
        <v>1095</v>
      </c>
      <c r="B52" s="977"/>
      <c r="C52" s="1088">
        <v>0</v>
      </c>
      <c r="D52" s="1088">
        <v>1</v>
      </c>
      <c r="E52" s="1088">
        <f>D52+1</f>
        <v>2</v>
      </c>
      <c r="F52" s="1088">
        <f>E52+1</f>
        <v>3</v>
      </c>
      <c r="G52" s="1088">
        <f>F52+1</f>
        <v>4</v>
      </c>
      <c r="H52" s="1088">
        <f>G52+1</f>
        <v>5</v>
      </c>
      <c r="I52" s="1088" t="str">
        <f>+I39</f>
        <v>Vresidual</v>
      </c>
    </row>
    <row r="53" spans="1:9" x14ac:dyDescent="0.25">
      <c r="A53" s="671" t="s">
        <v>291</v>
      </c>
      <c r="B53" s="671"/>
      <c r="C53" s="671"/>
      <c r="D53" s="1137">
        <f t="shared" ref="D53:I53" si="22">-D45</f>
        <v>0</v>
      </c>
      <c r="E53" s="1137">
        <f t="shared" si="22"/>
        <v>0</v>
      </c>
      <c r="F53" s="1137">
        <f t="shared" si="22"/>
        <v>0</v>
      </c>
      <c r="G53" s="1137">
        <f t="shared" si="22"/>
        <v>0</v>
      </c>
      <c r="H53" s="1137">
        <f t="shared" si="22"/>
        <v>0</v>
      </c>
      <c r="I53" s="1137">
        <f t="shared" si="22"/>
        <v>0</v>
      </c>
    </row>
    <row r="54" spans="1:9" x14ac:dyDescent="0.25">
      <c r="A54" s="671" t="s">
        <v>252</v>
      </c>
      <c r="B54" s="671"/>
      <c r="C54" s="671"/>
      <c r="D54" s="1137">
        <f t="shared" ref="D54:I54" si="23">+D48</f>
        <v>0</v>
      </c>
      <c r="E54" s="1137">
        <f t="shared" si="23"/>
        <v>0</v>
      </c>
      <c r="F54" s="1137">
        <f t="shared" si="23"/>
        <v>0</v>
      </c>
      <c r="G54" s="1137">
        <f t="shared" si="23"/>
        <v>0</v>
      </c>
      <c r="H54" s="1137">
        <f t="shared" si="23"/>
        <v>0</v>
      </c>
      <c r="I54" s="1137">
        <f t="shared" si="23"/>
        <v>0</v>
      </c>
    </row>
    <row r="55" spans="1:9" x14ac:dyDescent="0.25">
      <c r="A55" s="671"/>
      <c r="B55" s="671"/>
      <c r="C55" s="671"/>
      <c r="D55" s="671"/>
      <c r="E55" s="671"/>
      <c r="F55" s="671"/>
      <c r="G55" s="671"/>
      <c r="H55" s="671"/>
    </row>
    <row r="56" spans="1:9" x14ac:dyDescent="0.25">
      <c r="A56" s="1138" t="s">
        <v>1096</v>
      </c>
      <c r="B56" s="1139"/>
      <c r="C56" s="1140"/>
      <c r="D56" s="1141">
        <f>+D53+D54</f>
        <v>0</v>
      </c>
      <c r="E56" s="1141">
        <f>+E53+E54</f>
        <v>0</v>
      </c>
      <c r="F56" s="1141">
        <f>+F53+F54</f>
        <v>0</v>
      </c>
      <c r="G56" s="1141">
        <f>+G53+G54</f>
        <v>0</v>
      </c>
      <c r="H56" s="1142">
        <f>+G56*(1+$H$26)</f>
        <v>0</v>
      </c>
      <c r="I56" s="1142">
        <f>+H56*(1+$H$26)</f>
        <v>0</v>
      </c>
    </row>
    <row r="57" spans="1:9" ht="16.5" thickBot="1" x14ac:dyDescent="0.3">
      <c r="A57" s="1143"/>
      <c r="B57" s="1143"/>
      <c r="C57" s="1144"/>
      <c r="D57" s="1145"/>
      <c r="E57" s="1145"/>
      <c r="F57" s="1145"/>
      <c r="G57" s="1145"/>
      <c r="H57" s="1146"/>
      <c r="I57" s="1146"/>
    </row>
    <row r="58" spans="1:9" ht="16.5" thickBot="1" x14ac:dyDescent="0.3">
      <c r="A58" s="1147"/>
      <c r="B58" s="1148"/>
      <c r="C58" s="1149" t="s">
        <v>1097</v>
      </c>
      <c r="D58" s="1149" t="s">
        <v>1098</v>
      </c>
      <c r="E58" s="1150" t="s">
        <v>84</v>
      </c>
      <c r="F58" s="671"/>
      <c r="G58" s="671"/>
      <c r="H58" s="671"/>
    </row>
    <row r="59" spans="1:9" x14ac:dyDescent="0.25">
      <c r="A59" s="1151" t="s">
        <v>1099</v>
      </c>
      <c r="B59" s="1152"/>
      <c r="C59" s="728"/>
      <c r="D59" s="728"/>
      <c r="E59" s="1153"/>
      <c r="F59" s="671"/>
      <c r="G59" s="671"/>
      <c r="H59" s="1137"/>
    </row>
    <row r="60" spans="1:9" x14ac:dyDescent="0.25">
      <c r="A60" s="1135"/>
      <c r="B60" s="1136" t="s">
        <v>1277</v>
      </c>
      <c r="C60" s="1154">
        <f>+NPV(C63,D35:H35)</f>
        <v>124.24917663071925</v>
      </c>
      <c r="D60" s="1155"/>
      <c r="E60" s="1156"/>
      <c r="F60" s="671"/>
      <c r="G60" s="671"/>
      <c r="H60" s="1137"/>
    </row>
    <row r="61" spans="1:9" x14ac:dyDescent="0.25">
      <c r="A61" s="1135"/>
      <c r="B61" s="1136" t="s">
        <v>1277</v>
      </c>
      <c r="C61" s="768"/>
      <c r="D61" s="1155">
        <f>+I35/(1+C63)^($H$39+1)</f>
        <v>107.78213607566342</v>
      </c>
      <c r="E61" s="1156"/>
      <c r="F61" s="671"/>
      <c r="G61" s="671"/>
      <c r="H61" s="671"/>
    </row>
    <row r="62" spans="1:9" ht="16.5" thickBot="1" x14ac:dyDescent="0.3">
      <c r="A62" s="1131"/>
      <c r="B62" s="1132" t="s">
        <v>1277</v>
      </c>
      <c r="C62" s="1157"/>
      <c r="D62" s="1158"/>
      <c r="E62" s="1159">
        <f>+NPV(C63,C35:I35)</f>
        <v>232.03131270638269</v>
      </c>
      <c r="F62" s="671"/>
      <c r="G62" s="671"/>
      <c r="H62" s="671"/>
    </row>
    <row r="63" spans="1:9" x14ac:dyDescent="0.25">
      <c r="A63" s="671" t="s">
        <v>1100</v>
      </c>
      <c r="B63" s="671"/>
      <c r="C63" s="1160">
        <v>0.16</v>
      </c>
      <c r="D63" s="671"/>
      <c r="E63" s="671"/>
      <c r="F63" s="671"/>
      <c r="G63" s="671"/>
      <c r="H63" s="671"/>
    </row>
    <row r="64" spans="1:9" x14ac:dyDescent="0.25">
      <c r="A64" s="671" t="s">
        <v>1278</v>
      </c>
      <c r="B64" s="671"/>
      <c r="C64" s="1160"/>
      <c r="D64" s="671"/>
      <c r="E64" s="671"/>
      <c r="F64" s="671"/>
      <c r="G64" s="671"/>
      <c r="H64" s="671"/>
    </row>
    <row r="65" spans="1:8" x14ac:dyDescent="0.25">
      <c r="A65" s="707"/>
      <c r="B65" s="707"/>
      <c r="C65" s="707"/>
      <c r="D65" s="671"/>
      <c r="E65" s="671"/>
      <c r="F65" s="671"/>
      <c r="G65" s="671"/>
      <c r="H65" s="671"/>
    </row>
    <row r="66" spans="1:8" x14ac:dyDescent="0.25">
      <c r="A66" s="707"/>
      <c r="B66" s="707"/>
      <c r="C66" s="707"/>
      <c r="D66" s="671"/>
      <c r="E66" s="671"/>
      <c r="F66" s="671"/>
      <c r="G66" s="671"/>
      <c r="H66" s="671"/>
    </row>
    <row r="67" spans="1:8" x14ac:dyDescent="0.25">
      <c r="A67" s="707"/>
      <c r="B67" s="707"/>
      <c r="C67" s="707"/>
      <c r="D67" s="671"/>
      <c r="E67" s="671"/>
      <c r="F67" s="671"/>
      <c r="G67" s="671"/>
      <c r="H67" s="671"/>
    </row>
    <row r="68" spans="1:8" x14ac:dyDescent="0.25">
      <c r="A68" s="707"/>
      <c r="B68" s="707"/>
      <c r="C68" s="707"/>
      <c r="D68" s="707"/>
      <c r="E68" s="707"/>
      <c r="F68" s="707"/>
      <c r="G68" s="707"/>
      <c r="H68" s="707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showGridLines="0" workbookViewId="0">
      <selection activeCell="F13" sqref="F13"/>
    </sheetView>
  </sheetViews>
  <sheetFormatPr baseColWidth="10" defaultColWidth="9.140625" defaultRowHeight="15" x14ac:dyDescent="0.25"/>
  <sheetData>
    <row r="3" spans="2:2" x14ac:dyDescent="0.25">
      <c r="B3" t="s">
        <v>888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8"/>
  <sheetViews>
    <sheetView showGridLines="0" topLeftCell="A7" workbookViewId="0">
      <selection activeCell="C20" sqref="C20"/>
    </sheetView>
  </sheetViews>
  <sheetFormatPr baseColWidth="10" defaultColWidth="11.42578125" defaultRowHeight="15.75" x14ac:dyDescent="0.25"/>
  <cols>
    <col min="1" max="1" width="2.140625" style="289" customWidth="1"/>
    <col min="2" max="2" width="25.42578125" style="289" customWidth="1"/>
    <col min="3" max="12" width="10" style="289" customWidth="1"/>
    <col min="13" max="14" width="11.42578125" style="289"/>
    <col min="15" max="15" width="28.85546875" style="289" customWidth="1"/>
    <col min="16" max="16" width="7.5703125" style="289" bestFit="1" customWidth="1"/>
    <col min="17" max="18" width="9.140625" style="289" bestFit="1" customWidth="1"/>
    <col min="19" max="19" width="8.7109375" style="289" bestFit="1" customWidth="1"/>
    <col min="20" max="20" width="7.5703125" style="289" bestFit="1" customWidth="1"/>
    <col min="21" max="255" width="11.42578125" style="289"/>
    <col min="256" max="256" width="2.140625" style="289" customWidth="1"/>
    <col min="257" max="257" width="28.140625" style="289" customWidth="1"/>
    <col min="258" max="258" width="10.42578125" style="289" bestFit="1" customWidth="1"/>
    <col min="259" max="266" width="9.140625" style="289" bestFit="1" customWidth="1"/>
    <col min="267" max="267" width="10.5703125" style="289" customWidth="1"/>
    <col min="268" max="268" width="0.7109375" style="289" customWidth="1"/>
    <col min="269" max="270" width="11.42578125" style="289"/>
    <col min="271" max="271" width="28.85546875" style="289" customWidth="1"/>
    <col min="272" max="272" width="7.5703125" style="289" bestFit="1" customWidth="1"/>
    <col min="273" max="274" width="9.140625" style="289" bestFit="1" customWidth="1"/>
    <col min="275" max="275" width="8.7109375" style="289" bestFit="1" customWidth="1"/>
    <col min="276" max="276" width="7.5703125" style="289" bestFit="1" customWidth="1"/>
    <col min="277" max="511" width="11.42578125" style="289"/>
    <col min="512" max="512" width="2.140625" style="289" customWidth="1"/>
    <col min="513" max="513" width="28.140625" style="289" customWidth="1"/>
    <col min="514" max="514" width="10.42578125" style="289" bestFit="1" customWidth="1"/>
    <col min="515" max="522" width="9.140625" style="289" bestFit="1" customWidth="1"/>
    <col min="523" max="523" width="10.5703125" style="289" customWidth="1"/>
    <col min="524" max="524" width="0.7109375" style="289" customWidth="1"/>
    <col min="525" max="526" width="11.42578125" style="289"/>
    <col min="527" max="527" width="28.85546875" style="289" customWidth="1"/>
    <col min="528" max="528" width="7.5703125" style="289" bestFit="1" customWidth="1"/>
    <col min="529" max="530" width="9.140625" style="289" bestFit="1" customWidth="1"/>
    <col min="531" max="531" width="8.7109375" style="289" bestFit="1" customWidth="1"/>
    <col min="532" max="532" width="7.5703125" style="289" bestFit="1" customWidth="1"/>
    <col min="533" max="767" width="11.42578125" style="289"/>
    <col min="768" max="768" width="2.140625" style="289" customWidth="1"/>
    <col min="769" max="769" width="28.140625" style="289" customWidth="1"/>
    <col min="770" max="770" width="10.42578125" style="289" bestFit="1" customWidth="1"/>
    <col min="771" max="778" width="9.140625" style="289" bestFit="1" customWidth="1"/>
    <col min="779" max="779" width="10.5703125" style="289" customWidth="1"/>
    <col min="780" max="780" width="0.7109375" style="289" customWidth="1"/>
    <col min="781" max="782" width="11.42578125" style="289"/>
    <col min="783" max="783" width="28.85546875" style="289" customWidth="1"/>
    <col min="784" max="784" width="7.5703125" style="289" bestFit="1" customWidth="1"/>
    <col min="785" max="786" width="9.140625" style="289" bestFit="1" customWidth="1"/>
    <col min="787" max="787" width="8.7109375" style="289" bestFit="1" customWidth="1"/>
    <col min="788" max="788" width="7.5703125" style="289" bestFit="1" customWidth="1"/>
    <col min="789" max="1023" width="11.42578125" style="289"/>
    <col min="1024" max="1024" width="2.140625" style="289" customWidth="1"/>
    <col min="1025" max="1025" width="28.140625" style="289" customWidth="1"/>
    <col min="1026" max="1026" width="10.42578125" style="289" bestFit="1" customWidth="1"/>
    <col min="1027" max="1034" width="9.140625" style="289" bestFit="1" customWidth="1"/>
    <col min="1035" max="1035" width="10.5703125" style="289" customWidth="1"/>
    <col min="1036" max="1036" width="0.7109375" style="289" customWidth="1"/>
    <col min="1037" max="1038" width="11.42578125" style="289"/>
    <col min="1039" max="1039" width="28.85546875" style="289" customWidth="1"/>
    <col min="1040" max="1040" width="7.5703125" style="289" bestFit="1" customWidth="1"/>
    <col min="1041" max="1042" width="9.140625" style="289" bestFit="1" customWidth="1"/>
    <col min="1043" max="1043" width="8.7109375" style="289" bestFit="1" customWidth="1"/>
    <col min="1044" max="1044" width="7.5703125" style="289" bestFit="1" customWidth="1"/>
    <col min="1045" max="1279" width="11.42578125" style="289"/>
    <col min="1280" max="1280" width="2.140625" style="289" customWidth="1"/>
    <col min="1281" max="1281" width="28.140625" style="289" customWidth="1"/>
    <col min="1282" max="1282" width="10.42578125" style="289" bestFit="1" customWidth="1"/>
    <col min="1283" max="1290" width="9.140625" style="289" bestFit="1" customWidth="1"/>
    <col min="1291" max="1291" width="10.5703125" style="289" customWidth="1"/>
    <col min="1292" max="1292" width="0.7109375" style="289" customWidth="1"/>
    <col min="1293" max="1294" width="11.42578125" style="289"/>
    <col min="1295" max="1295" width="28.85546875" style="289" customWidth="1"/>
    <col min="1296" max="1296" width="7.5703125" style="289" bestFit="1" customWidth="1"/>
    <col min="1297" max="1298" width="9.140625" style="289" bestFit="1" customWidth="1"/>
    <col min="1299" max="1299" width="8.7109375" style="289" bestFit="1" customWidth="1"/>
    <col min="1300" max="1300" width="7.5703125" style="289" bestFit="1" customWidth="1"/>
    <col min="1301" max="1535" width="11.42578125" style="289"/>
    <col min="1536" max="1536" width="2.140625" style="289" customWidth="1"/>
    <col min="1537" max="1537" width="28.140625" style="289" customWidth="1"/>
    <col min="1538" max="1538" width="10.42578125" style="289" bestFit="1" customWidth="1"/>
    <col min="1539" max="1546" width="9.140625" style="289" bestFit="1" customWidth="1"/>
    <col min="1547" max="1547" width="10.5703125" style="289" customWidth="1"/>
    <col min="1548" max="1548" width="0.7109375" style="289" customWidth="1"/>
    <col min="1549" max="1550" width="11.42578125" style="289"/>
    <col min="1551" max="1551" width="28.85546875" style="289" customWidth="1"/>
    <col min="1552" max="1552" width="7.5703125" style="289" bestFit="1" customWidth="1"/>
    <col min="1553" max="1554" width="9.140625" style="289" bestFit="1" customWidth="1"/>
    <col min="1555" max="1555" width="8.7109375" style="289" bestFit="1" customWidth="1"/>
    <col min="1556" max="1556" width="7.5703125" style="289" bestFit="1" customWidth="1"/>
    <col min="1557" max="1791" width="11.42578125" style="289"/>
    <col min="1792" max="1792" width="2.140625" style="289" customWidth="1"/>
    <col min="1793" max="1793" width="28.140625" style="289" customWidth="1"/>
    <col min="1794" max="1794" width="10.42578125" style="289" bestFit="1" customWidth="1"/>
    <col min="1795" max="1802" width="9.140625" style="289" bestFit="1" customWidth="1"/>
    <col min="1803" max="1803" width="10.5703125" style="289" customWidth="1"/>
    <col min="1804" max="1804" width="0.7109375" style="289" customWidth="1"/>
    <col min="1805" max="1806" width="11.42578125" style="289"/>
    <col min="1807" max="1807" width="28.85546875" style="289" customWidth="1"/>
    <col min="1808" max="1808" width="7.5703125" style="289" bestFit="1" customWidth="1"/>
    <col min="1809" max="1810" width="9.140625" style="289" bestFit="1" customWidth="1"/>
    <col min="1811" max="1811" width="8.7109375" style="289" bestFit="1" customWidth="1"/>
    <col min="1812" max="1812" width="7.5703125" style="289" bestFit="1" customWidth="1"/>
    <col min="1813" max="2047" width="11.42578125" style="289"/>
    <col min="2048" max="2048" width="2.140625" style="289" customWidth="1"/>
    <col min="2049" max="2049" width="28.140625" style="289" customWidth="1"/>
    <col min="2050" max="2050" width="10.42578125" style="289" bestFit="1" customWidth="1"/>
    <col min="2051" max="2058" width="9.140625" style="289" bestFit="1" customWidth="1"/>
    <col min="2059" max="2059" width="10.5703125" style="289" customWidth="1"/>
    <col min="2060" max="2060" width="0.7109375" style="289" customWidth="1"/>
    <col min="2061" max="2062" width="11.42578125" style="289"/>
    <col min="2063" max="2063" width="28.85546875" style="289" customWidth="1"/>
    <col min="2064" max="2064" width="7.5703125" style="289" bestFit="1" customWidth="1"/>
    <col min="2065" max="2066" width="9.140625" style="289" bestFit="1" customWidth="1"/>
    <col min="2067" max="2067" width="8.7109375" style="289" bestFit="1" customWidth="1"/>
    <col min="2068" max="2068" width="7.5703125" style="289" bestFit="1" customWidth="1"/>
    <col min="2069" max="2303" width="11.42578125" style="289"/>
    <col min="2304" max="2304" width="2.140625" style="289" customWidth="1"/>
    <col min="2305" max="2305" width="28.140625" style="289" customWidth="1"/>
    <col min="2306" max="2306" width="10.42578125" style="289" bestFit="1" customWidth="1"/>
    <col min="2307" max="2314" width="9.140625" style="289" bestFit="1" customWidth="1"/>
    <col min="2315" max="2315" width="10.5703125" style="289" customWidth="1"/>
    <col min="2316" max="2316" width="0.7109375" style="289" customWidth="1"/>
    <col min="2317" max="2318" width="11.42578125" style="289"/>
    <col min="2319" max="2319" width="28.85546875" style="289" customWidth="1"/>
    <col min="2320" max="2320" width="7.5703125" style="289" bestFit="1" customWidth="1"/>
    <col min="2321" max="2322" width="9.140625" style="289" bestFit="1" customWidth="1"/>
    <col min="2323" max="2323" width="8.7109375" style="289" bestFit="1" customWidth="1"/>
    <col min="2324" max="2324" width="7.5703125" style="289" bestFit="1" customWidth="1"/>
    <col min="2325" max="2559" width="11.42578125" style="289"/>
    <col min="2560" max="2560" width="2.140625" style="289" customWidth="1"/>
    <col min="2561" max="2561" width="28.140625" style="289" customWidth="1"/>
    <col min="2562" max="2562" width="10.42578125" style="289" bestFit="1" customWidth="1"/>
    <col min="2563" max="2570" width="9.140625" style="289" bestFit="1" customWidth="1"/>
    <col min="2571" max="2571" width="10.5703125" style="289" customWidth="1"/>
    <col min="2572" max="2572" width="0.7109375" style="289" customWidth="1"/>
    <col min="2573" max="2574" width="11.42578125" style="289"/>
    <col min="2575" max="2575" width="28.85546875" style="289" customWidth="1"/>
    <col min="2576" max="2576" width="7.5703125" style="289" bestFit="1" customWidth="1"/>
    <col min="2577" max="2578" width="9.140625" style="289" bestFit="1" customWidth="1"/>
    <col min="2579" max="2579" width="8.7109375" style="289" bestFit="1" customWidth="1"/>
    <col min="2580" max="2580" width="7.5703125" style="289" bestFit="1" customWidth="1"/>
    <col min="2581" max="2815" width="11.42578125" style="289"/>
    <col min="2816" max="2816" width="2.140625" style="289" customWidth="1"/>
    <col min="2817" max="2817" width="28.140625" style="289" customWidth="1"/>
    <col min="2818" max="2818" width="10.42578125" style="289" bestFit="1" customWidth="1"/>
    <col min="2819" max="2826" width="9.140625" style="289" bestFit="1" customWidth="1"/>
    <col min="2827" max="2827" width="10.5703125" style="289" customWidth="1"/>
    <col min="2828" max="2828" width="0.7109375" style="289" customWidth="1"/>
    <col min="2829" max="2830" width="11.42578125" style="289"/>
    <col min="2831" max="2831" width="28.85546875" style="289" customWidth="1"/>
    <col min="2832" max="2832" width="7.5703125" style="289" bestFit="1" customWidth="1"/>
    <col min="2833" max="2834" width="9.140625" style="289" bestFit="1" customWidth="1"/>
    <col min="2835" max="2835" width="8.7109375" style="289" bestFit="1" customWidth="1"/>
    <col min="2836" max="2836" width="7.5703125" style="289" bestFit="1" customWidth="1"/>
    <col min="2837" max="3071" width="11.42578125" style="289"/>
    <col min="3072" max="3072" width="2.140625" style="289" customWidth="1"/>
    <col min="3073" max="3073" width="28.140625" style="289" customWidth="1"/>
    <col min="3074" max="3074" width="10.42578125" style="289" bestFit="1" customWidth="1"/>
    <col min="3075" max="3082" width="9.140625" style="289" bestFit="1" customWidth="1"/>
    <col min="3083" max="3083" width="10.5703125" style="289" customWidth="1"/>
    <col min="3084" max="3084" width="0.7109375" style="289" customWidth="1"/>
    <col min="3085" max="3086" width="11.42578125" style="289"/>
    <col min="3087" max="3087" width="28.85546875" style="289" customWidth="1"/>
    <col min="3088" max="3088" width="7.5703125" style="289" bestFit="1" customWidth="1"/>
    <col min="3089" max="3090" width="9.140625" style="289" bestFit="1" customWidth="1"/>
    <col min="3091" max="3091" width="8.7109375" style="289" bestFit="1" customWidth="1"/>
    <col min="3092" max="3092" width="7.5703125" style="289" bestFit="1" customWidth="1"/>
    <col min="3093" max="3327" width="11.42578125" style="289"/>
    <col min="3328" max="3328" width="2.140625" style="289" customWidth="1"/>
    <col min="3329" max="3329" width="28.140625" style="289" customWidth="1"/>
    <col min="3330" max="3330" width="10.42578125" style="289" bestFit="1" customWidth="1"/>
    <col min="3331" max="3338" width="9.140625" style="289" bestFit="1" customWidth="1"/>
    <col min="3339" max="3339" width="10.5703125" style="289" customWidth="1"/>
    <col min="3340" max="3340" width="0.7109375" style="289" customWidth="1"/>
    <col min="3341" max="3342" width="11.42578125" style="289"/>
    <col min="3343" max="3343" width="28.85546875" style="289" customWidth="1"/>
    <col min="3344" max="3344" width="7.5703125" style="289" bestFit="1" customWidth="1"/>
    <col min="3345" max="3346" width="9.140625" style="289" bestFit="1" customWidth="1"/>
    <col min="3347" max="3347" width="8.7109375" style="289" bestFit="1" customWidth="1"/>
    <col min="3348" max="3348" width="7.5703125" style="289" bestFit="1" customWidth="1"/>
    <col min="3349" max="3583" width="11.42578125" style="289"/>
    <col min="3584" max="3584" width="2.140625" style="289" customWidth="1"/>
    <col min="3585" max="3585" width="28.140625" style="289" customWidth="1"/>
    <col min="3586" max="3586" width="10.42578125" style="289" bestFit="1" customWidth="1"/>
    <col min="3587" max="3594" width="9.140625" style="289" bestFit="1" customWidth="1"/>
    <col min="3595" max="3595" width="10.5703125" style="289" customWidth="1"/>
    <col min="3596" max="3596" width="0.7109375" style="289" customWidth="1"/>
    <col min="3597" max="3598" width="11.42578125" style="289"/>
    <col min="3599" max="3599" width="28.85546875" style="289" customWidth="1"/>
    <col min="3600" max="3600" width="7.5703125" style="289" bestFit="1" customWidth="1"/>
    <col min="3601" max="3602" width="9.140625" style="289" bestFit="1" customWidth="1"/>
    <col min="3603" max="3603" width="8.7109375" style="289" bestFit="1" customWidth="1"/>
    <col min="3604" max="3604" width="7.5703125" style="289" bestFit="1" customWidth="1"/>
    <col min="3605" max="3839" width="11.42578125" style="289"/>
    <col min="3840" max="3840" width="2.140625" style="289" customWidth="1"/>
    <col min="3841" max="3841" width="28.140625" style="289" customWidth="1"/>
    <col min="3842" max="3842" width="10.42578125" style="289" bestFit="1" customWidth="1"/>
    <col min="3843" max="3850" width="9.140625" style="289" bestFit="1" customWidth="1"/>
    <col min="3851" max="3851" width="10.5703125" style="289" customWidth="1"/>
    <col min="3852" max="3852" width="0.7109375" style="289" customWidth="1"/>
    <col min="3853" max="3854" width="11.42578125" style="289"/>
    <col min="3855" max="3855" width="28.85546875" style="289" customWidth="1"/>
    <col min="3856" max="3856" width="7.5703125" style="289" bestFit="1" customWidth="1"/>
    <col min="3857" max="3858" width="9.140625" style="289" bestFit="1" customWidth="1"/>
    <col min="3859" max="3859" width="8.7109375" style="289" bestFit="1" customWidth="1"/>
    <col min="3860" max="3860" width="7.5703125" style="289" bestFit="1" customWidth="1"/>
    <col min="3861" max="4095" width="11.42578125" style="289"/>
    <col min="4096" max="4096" width="2.140625" style="289" customWidth="1"/>
    <col min="4097" max="4097" width="28.140625" style="289" customWidth="1"/>
    <col min="4098" max="4098" width="10.42578125" style="289" bestFit="1" customWidth="1"/>
    <col min="4099" max="4106" width="9.140625" style="289" bestFit="1" customWidth="1"/>
    <col min="4107" max="4107" width="10.5703125" style="289" customWidth="1"/>
    <col min="4108" max="4108" width="0.7109375" style="289" customWidth="1"/>
    <col min="4109" max="4110" width="11.42578125" style="289"/>
    <col min="4111" max="4111" width="28.85546875" style="289" customWidth="1"/>
    <col min="4112" max="4112" width="7.5703125" style="289" bestFit="1" customWidth="1"/>
    <col min="4113" max="4114" width="9.140625" style="289" bestFit="1" customWidth="1"/>
    <col min="4115" max="4115" width="8.7109375" style="289" bestFit="1" customWidth="1"/>
    <col min="4116" max="4116" width="7.5703125" style="289" bestFit="1" customWidth="1"/>
    <col min="4117" max="4351" width="11.42578125" style="289"/>
    <col min="4352" max="4352" width="2.140625" style="289" customWidth="1"/>
    <col min="4353" max="4353" width="28.140625" style="289" customWidth="1"/>
    <col min="4354" max="4354" width="10.42578125" style="289" bestFit="1" customWidth="1"/>
    <col min="4355" max="4362" width="9.140625" style="289" bestFit="1" customWidth="1"/>
    <col min="4363" max="4363" width="10.5703125" style="289" customWidth="1"/>
    <col min="4364" max="4364" width="0.7109375" style="289" customWidth="1"/>
    <col min="4365" max="4366" width="11.42578125" style="289"/>
    <col min="4367" max="4367" width="28.85546875" style="289" customWidth="1"/>
    <col min="4368" max="4368" width="7.5703125" style="289" bestFit="1" customWidth="1"/>
    <col min="4369" max="4370" width="9.140625" style="289" bestFit="1" customWidth="1"/>
    <col min="4371" max="4371" width="8.7109375" style="289" bestFit="1" customWidth="1"/>
    <col min="4372" max="4372" width="7.5703125" style="289" bestFit="1" customWidth="1"/>
    <col min="4373" max="4607" width="11.42578125" style="289"/>
    <col min="4608" max="4608" width="2.140625" style="289" customWidth="1"/>
    <col min="4609" max="4609" width="28.140625" style="289" customWidth="1"/>
    <col min="4610" max="4610" width="10.42578125" style="289" bestFit="1" customWidth="1"/>
    <col min="4611" max="4618" width="9.140625" style="289" bestFit="1" customWidth="1"/>
    <col min="4619" max="4619" width="10.5703125" style="289" customWidth="1"/>
    <col min="4620" max="4620" width="0.7109375" style="289" customWidth="1"/>
    <col min="4621" max="4622" width="11.42578125" style="289"/>
    <col min="4623" max="4623" width="28.85546875" style="289" customWidth="1"/>
    <col min="4624" max="4624" width="7.5703125" style="289" bestFit="1" customWidth="1"/>
    <col min="4625" max="4626" width="9.140625" style="289" bestFit="1" customWidth="1"/>
    <col min="4627" max="4627" width="8.7109375" style="289" bestFit="1" customWidth="1"/>
    <col min="4628" max="4628" width="7.5703125" style="289" bestFit="1" customWidth="1"/>
    <col min="4629" max="4863" width="11.42578125" style="289"/>
    <col min="4864" max="4864" width="2.140625" style="289" customWidth="1"/>
    <col min="4865" max="4865" width="28.140625" style="289" customWidth="1"/>
    <col min="4866" max="4866" width="10.42578125" style="289" bestFit="1" customWidth="1"/>
    <col min="4867" max="4874" width="9.140625" style="289" bestFit="1" customWidth="1"/>
    <col min="4875" max="4875" width="10.5703125" style="289" customWidth="1"/>
    <col min="4876" max="4876" width="0.7109375" style="289" customWidth="1"/>
    <col min="4877" max="4878" width="11.42578125" style="289"/>
    <col min="4879" max="4879" width="28.85546875" style="289" customWidth="1"/>
    <col min="4880" max="4880" width="7.5703125" style="289" bestFit="1" customWidth="1"/>
    <col min="4881" max="4882" width="9.140625" style="289" bestFit="1" customWidth="1"/>
    <col min="4883" max="4883" width="8.7109375" style="289" bestFit="1" customWidth="1"/>
    <col min="4884" max="4884" width="7.5703125" style="289" bestFit="1" customWidth="1"/>
    <col min="4885" max="5119" width="11.42578125" style="289"/>
    <col min="5120" max="5120" width="2.140625" style="289" customWidth="1"/>
    <col min="5121" max="5121" width="28.140625" style="289" customWidth="1"/>
    <col min="5122" max="5122" width="10.42578125" style="289" bestFit="1" customWidth="1"/>
    <col min="5123" max="5130" width="9.140625" style="289" bestFit="1" customWidth="1"/>
    <col min="5131" max="5131" width="10.5703125" style="289" customWidth="1"/>
    <col min="5132" max="5132" width="0.7109375" style="289" customWidth="1"/>
    <col min="5133" max="5134" width="11.42578125" style="289"/>
    <col min="5135" max="5135" width="28.85546875" style="289" customWidth="1"/>
    <col min="5136" max="5136" width="7.5703125" style="289" bestFit="1" customWidth="1"/>
    <col min="5137" max="5138" width="9.140625" style="289" bestFit="1" customWidth="1"/>
    <col min="5139" max="5139" width="8.7109375" style="289" bestFit="1" customWidth="1"/>
    <col min="5140" max="5140" width="7.5703125" style="289" bestFit="1" customWidth="1"/>
    <col min="5141" max="5375" width="11.42578125" style="289"/>
    <col min="5376" max="5376" width="2.140625" style="289" customWidth="1"/>
    <col min="5377" max="5377" width="28.140625" style="289" customWidth="1"/>
    <col min="5378" max="5378" width="10.42578125" style="289" bestFit="1" customWidth="1"/>
    <col min="5379" max="5386" width="9.140625" style="289" bestFit="1" customWidth="1"/>
    <col min="5387" max="5387" width="10.5703125" style="289" customWidth="1"/>
    <col min="5388" max="5388" width="0.7109375" style="289" customWidth="1"/>
    <col min="5389" max="5390" width="11.42578125" style="289"/>
    <col min="5391" max="5391" width="28.85546875" style="289" customWidth="1"/>
    <col min="5392" max="5392" width="7.5703125" style="289" bestFit="1" customWidth="1"/>
    <col min="5393" max="5394" width="9.140625" style="289" bestFit="1" customWidth="1"/>
    <col min="5395" max="5395" width="8.7109375" style="289" bestFit="1" customWidth="1"/>
    <col min="5396" max="5396" width="7.5703125" style="289" bestFit="1" customWidth="1"/>
    <col min="5397" max="5631" width="11.42578125" style="289"/>
    <col min="5632" max="5632" width="2.140625" style="289" customWidth="1"/>
    <col min="5633" max="5633" width="28.140625" style="289" customWidth="1"/>
    <col min="5634" max="5634" width="10.42578125" style="289" bestFit="1" customWidth="1"/>
    <col min="5635" max="5642" width="9.140625" style="289" bestFit="1" customWidth="1"/>
    <col min="5643" max="5643" width="10.5703125" style="289" customWidth="1"/>
    <col min="5644" max="5644" width="0.7109375" style="289" customWidth="1"/>
    <col min="5645" max="5646" width="11.42578125" style="289"/>
    <col min="5647" max="5647" width="28.85546875" style="289" customWidth="1"/>
    <col min="5648" max="5648" width="7.5703125" style="289" bestFit="1" customWidth="1"/>
    <col min="5649" max="5650" width="9.140625" style="289" bestFit="1" customWidth="1"/>
    <col min="5651" max="5651" width="8.7109375" style="289" bestFit="1" customWidth="1"/>
    <col min="5652" max="5652" width="7.5703125" style="289" bestFit="1" customWidth="1"/>
    <col min="5653" max="5887" width="11.42578125" style="289"/>
    <col min="5888" max="5888" width="2.140625" style="289" customWidth="1"/>
    <col min="5889" max="5889" width="28.140625" style="289" customWidth="1"/>
    <col min="5890" max="5890" width="10.42578125" style="289" bestFit="1" customWidth="1"/>
    <col min="5891" max="5898" width="9.140625" style="289" bestFit="1" customWidth="1"/>
    <col min="5899" max="5899" width="10.5703125" style="289" customWidth="1"/>
    <col min="5900" max="5900" width="0.7109375" style="289" customWidth="1"/>
    <col min="5901" max="5902" width="11.42578125" style="289"/>
    <col min="5903" max="5903" width="28.85546875" style="289" customWidth="1"/>
    <col min="5904" max="5904" width="7.5703125" style="289" bestFit="1" customWidth="1"/>
    <col min="5905" max="5906" width="9.140625" style="289" bestFit="1" customWidth="1"/>
    <col min="5907" max="5907" width="8.7109375" style="289" bestFit="1" customWidth="1"/>
    <col min="5908" max="5908" width="7.5703125" style="289" bestFit="1" customWidth="1"/>
    <col min="5909" max="6143" width="11.42578125" style="289"/>
    <col min="6144" max="6144" width="2.140625" style="289" customWidth="1"/>
    <col min="6145" max="6145" width="28.140625" style="289" customWidth="1"/>
    <col min="6146" max="6146" width="10.42578125" style="289" bestFit="1" customWidth="1"/>
    <col min="6147" max="6154" width="9.140625" style="289" bestFit="1" customWidth="1"/>
    <col min="6155" max="6155" width="10.5703125" style="289" customWidth="1"/>
    <col min="6156" max="6156" width="0.7109375" style="289" customWidth="1"/>
    <col min="6157" max="6158" width="11.42578125" style="289"/>
    <col min="6159" max="6159" width="28.85546875" style="289" customWidth="1"/>
    <col min="6160" max="6160" width="7.5703125" style="289" bestFit="1" customWidth="1"/>
    <col min="6161" max="6162" width="9.140625" style="289" bestFit="1" customWidth="1"/>
    <col min="6163" max="6163" width="8.7109375" style="289" bestFit="1" customWidth="1"/>
    <col min="6164" max="6164" width="7.5703125" style="289" bestFit="1" customWidth="1"/>
    <col min="6165" max="6399" width="11.42578125" style="289"/>
    <col min="6400" max="6400" width="2.140625" style="289" customWidth="1"/>
    <col min="6401" max="6401" width="28.140625" style="289" customWidth="1"/>
    <col min="6402" max="6402" width="10.42578125" style="289" bestFit="1" customWidth="1"/>
    <col min="6403" max="6410" width="9.140625" style="289" bestFit="1" customWidth="1"/>
    <col min="6411" max="6411" width="10.5703125" style="289" customWidth="1"/>
    <col min="6412" max="6412" width="0.7109375" style="289" customWidth="1"/>
    <col min="6413" max="6414" width="11.42578125" style="289"/>
    <col min="6415" max="6415" width="28.85546875" style="289" customWidth="1"/>
    <col min="6416" max="6416" width="7.5703125" style="289" bestFit="1" customWidth="1"/>
    <col min="6417" max="6418" width="9.140625" style="289" bestFit="1" customWidth="1"/>
    <col min="6419" max="6419" width="8.7109375" style="289" bestFit="1" customWidth="1"/>
    <col min="6420" max="6420" width="7.5703125" style="289" bestFit="1" customWidth="1"/>
    <col min="6421" max="6655" width="11.42578125" style="289"/>
    <col min="6656" max="6656" width="2.140625" style="289" customWidth="1"/>
    <col min="6657" max="6657" width="28.140625" style="289" customWidth="1"/>
    <col min="6658" max="6658" width="10.42578125" style="289" bestFit="1" customWidth="1"/>
    <col min="6659" max="6666" width="9.140625" style="289" bestFit="1" customWidth="1"/>
    <col min="6667" max="6667" width="10.5703125" style="289" customWidth="1"/>
    <col min="6668" max="6668" width="0.7109375" style="289" customWidth="1"/>
    <col min="6669" max="6670" width="11.42578125" style="289"/>
    <col min="6671" max="6671" width="28.85546875" style="289" customWidth="1"/>
    <col min="6672" max="6672" width="7.5703125" style="289" bestFit="1" customWidth="1"/>
    <col min="6673" max="6674" width="9.140625" style="289" bestFit="1" customWidth="1"/>
    <col min="6675" max="6675" width="8.7109375" style="289" bestFit="1" customWidth="1"/>
    <col min="6676" max="6676" width="7.5703125" style="289" bestFit="1" customWidth="1"/>
    <col min="6677" max="6911" width="11.42578125" style="289"/>
    <col min="6912" max="6912" width="2.140625" style="289" customWidth="1"/>
    <col min="6913" max="6913" width="28.140625" style="289" customWidth="1"/>
    <col min="6914" max="6914" width="10.42578125" style="289" bestFit="1" customWidth="1"/>
    <col min="6915" max="6922" width="9.140625" style="289" bestFit="1" customWidth="1"/>
    <col min="6923" max="6923" width="10.5703125" style="289" customWidth="1"/>
    <col min="6924" max="6924" width="0.7109375" style="289" customWidth="1"/>
    <col min="6925" max="6926" width="11.42578125" style="289"/>
    <col min="6927" max="6927" width="28.85546875" style="289" customWidth="1"/>
    <col min="6928" max="6928" width="7.5703125" style="289" bestFit="1" customWidth="1"/>
    <col min="6929" max="6930" width="9.140625" style="289" bestFit="1" customWidth="1"/>
    <col min="6931" max="6931" width="8.7109375" style="289" bestFit="1" customWidth="1"/>
    <col min="6932" max="6932" width="7.5703125" style="289" bestFit="1" customWidth="1"/>
    <col min="6933" max="7167" width="11.42578125" style="289"/>
    <col min="7168" max="7168" width="2.140625" style="289" customWidth="1"/>
    <col min="7169" max="7169" width="28.140625" style="289" customWidth="1"/>
    <col min="7170" max="7170" width="10.42578125" style="289" bestFit="1" customWidth="1"/>
    <col min="7171" max="7178" width="9.140625" style="289" bestFit="1" customWidth="1"/>
    <col min="7179" max="7179" width="10.5703125" style="289" customWidth="1"/>
    <col min="7180" max="7180" width="0.7109375" style="289" customWidth="1"/>
    <col min="7181" max="7182" width="11.42578125" style="289"/>
    <col min="7183" max="7183" width="28.85546875" style="289" customWidth="1"/>
    <col min="7184" max="7184" width="7.5703125" style="289" bestFit="1" customWidth="1"/>
    <col min="7185" max="7186" width="9.140625" style="289" bestFit="1" customWidth="1"/>
    <col min="7187" max="7187" width="8.7109375" style="289" bestFit="1" customWidth="1"/>
    <col min="7188" max="7188" width="7.5703125" style="289" bestFit="1" customWidth="1"/>
    <col min="7189" max="7423" width="11.42578125" style="289"/>
    <col min="7424" max="7424" width="2.140625" style="289" customWidth="1"/>
    <col min="7425" max="7425" width="28.140625" style="289" customWidth="1"/>
    <col min="7426" max="7426" width="10.42578125" style="289" bestFit="1" customWidth="1"/>
    <col min="7427" max="7434" width="9.140625" style="289" bestFit="1" customWidth="1"/>
    <col min="7435" max="7435" width="10.5703125" style="289" customWidth="1"/>
    <col min="7436" max="7436" width="0.7109375" style="289" customWidth="1"/>
    <col min="7437" max="7438" width="11.42578125" style="289"/>
    <col min="7439" max="7439" width="28.85546875" style="289" customWidth="1"/>
    <col min="7440" max="7440" width="7.5703125" style="289" bestFit="1" customWidth="1"/>
    <col min="7441" max="7442" width="9.140625" style="289" bestFit="1" customWidth="1"/>
    <col min="7443" max="7443" width="8.7109375" style="289" bestFit="1" customWidth="1"/>
    <col min="7444" max="7444" width="7.5703125" style="289" bestFit="1" customWidth="1"/>
    <col min="7445" max="7679" width="11.42578125" style="289"/>
    <col min="7680" max="7680" width="2.140625" style="289" customWidth="1"/>
    <col min="7681" max="7681" width="28.140625" style="289" customWidth="1"/>
    <col min="7682" max="7682" width="10.42578125" style="289" bestFit="1" customWidth="1"/>
    <col min="7683" max="7690" width="9.140625" style="289" bestFit="1" customWidth="1"/>
    <col min="7691" max="7691" width="10.5703125" style="289" customWidth="1"/>
    <col min="7692" max="7692" width="0.7109375" style="289" customWidth="1"/>
    <col min="7693" max="7694" width="11.42578125" style="289"/>
    <col min="7695" max="7695" width="28.85546875" style="289" customWidth="1"/>
    <col min="7696" max="7696" width="7.5703125" style="289" bestFit="1" customWidth="1"/>
    <col min="7697" max="7698" width="9.140625" style="289" bestFit="1" customWidth="1"/>
    <col min="7699" max="7699" width="8.7109375" style="289" bestFit="1" customWidth="1"/>
    <col min="7700" max="7700" width="7.5703125" style="289" bestFit="1" customWidth="1"/>
    <col min="7701" max="7935" width="11.42578125" style="289"/>
    <col min="7936" max="7936" width="2.140625" style="289" customWidth="1"/>
    <col min="7937" max="7937" width="28.140625" style="289" customWidth="1"/>
    <col min="7938" max="7938" width="10.42578125" style="289" bestFit="1" customWidth="1"/>
    <col min="7939" max="7946" width="9.140625" style="289" bestFit="1" customWidth="1"/>
    <col min="7947" max="7947" width="10.5703125" style="289" customWidth="1"/>
    <col min="7948" max="7948" width="0.7109375" style="289" customWidth="1"/>
    <col min="7949" max="7950" width="11.42578125" style="289"/>
    <col min="7951" max="7951" width="28.85546875" style="289" customWidth="1"/>
    <col min="7952" max="7952" width="7.5703125" style="289" bestFit="1" customWidth="1"/>
    <col min="7953" max="7954" width="9.140625" style="289" bestFit="1" customWidth="1"/>
    <col min="7955" max="7955" width="8.7109375" style="289" bestFit="1" customWidth="1"/>
    <col min="7956" max="7956" width="7.5703125" style="289" bestFit="1" customWidth="1"/>
    <col min="7957" max="8191" width="11.42578125" style="289"/>
    <col min="8192" max="8192" width="2.140625" style="289" customWidth="1"/>
    <col min="8193" max="8193" width="28.140625" style="289" customWidth="1"/>
    <col min="8194" max="8194" width="10.42578125" style="289" bestFit="1" customWidth="1"/>
    <col min="8195" max="8202" width="9.140625" style="289" bestFit="1" customWidth="1"/>
    <col min="8203" max="8203" width="10.5703125" style="289" customWidth="1"/>
    <col min="8204" max="8204" width="0.7109375" style="289" customWidth="1"/>
    <col min="8205" max="8206" width="11.42578125" style="289"/>
    <col min="8207" max="8207" width="28.85546875" style="289" customWidth="1"/>
    <col min="8208" max="8208" width="7.5703125" style="289" bestFit="1" customWidth="1"/>
    <col min="8209" max="8210" width="9.140625" style="289" bestFit="1" customWidth="1"/>
    <col min="8211" max="8211" width="8.7109375" style="289" bestFit="1" customWidth="1"/>
    <col min="8212" max="8212" width="7.5703125" style="289" bestFit="1" customWidth="1"/>
    <col min="8213" max="8447" width="11.42578125" style="289"/>
    <col min="8448" max="8448" width="2.140625" style="289" customWidth="1"/>
    <col min="8449" max="8449" width="28.140625" style="289" customWidth="1"/>
    <col min="8450" max="8450" width="10.42578125" style="289" bestFit="1" customWidth="1"/>
    <col min="8451" max="8458" width="9.140625" style="289" bestFit="1" customWidth="1"/>
    <col min="8459" max="8459" width="10.5703125" style="289" customWidth="1"/>
    <col min="8460" max="8460" width="0.7109375" style="289" customWidth="1"/>
    <col min="8461" max="8462" width="11.42578125" style="289"/>
    <col min="8463" max="8463" width="28.85546875" style="289" customWidth="1"/>
    <col min="8464" max="8464" width="7.5703125" style="289" bestFit="1" customWidth="1"/>
    <col min="8465" max="8466" width="9.140625" style="289" bestFit="1" customWidth="1"/>
    <col min="8467" max="8467" width="8.7109375" style="289" bestFit="1" customWidth="1"/>
    <col min="8468" max="8468" width="7.5703125" style="289" bestFit="1" customWidth="1"/>
    <col min="8469" max="8703" width="11.42578125" style="289"/>
    <col min="8704" max="8704" width="2.140625" style="289" customWidth="1"/>
    <col min="8705" max="8705" width="28.140625" style="289" customWidth="1"/>
    <col min="8706" max="8706" width="10.42578125" style="289" bestFit="1" customWidth="1"/>
    <col min="8707" max="8714" width="9.140625" style="289" bestFit="1" customWidth="1"/>
    <col min="8715" max="8715" width="10.5703125" style="289" customWidth="1"/>
    <col min="8716" max="8716" width="0.7109375" style="289" customWidth="1"/>
    <col min="8717" max="8718" width="11.42578125" style="289"/>
    <col min="8719" max="8719" width="28.85546875" style="289" customWidth="1"/>
    <col min="8720" max="8720" width="7.5703125" style="289" bestFit="1" customWidth="1"/>
    <col min="8721" max="8722" width="9.140625" style="289" bestFit="1" customWidth="1"/>
    <col min="8723" max="8723" width="8.7109375" style="289" bestFit="1" customWidth="1"/>
    <col min="8724" max="8724" width="7.5703125" style="289" bestFit="1" customWidth="1"/>
    <col min="8725" max="8959" width="11.42578125" style="289"/>
    <col min="8960" max="8960" width="2.140625" style="289" customWidth="1"/>
    <col min="8961" max="8961" width="28.140625" style="289" customWidth="1"/>
    <col min="8962" max="8962" width="10.42578125" style="289" bestFit="1" customWidth="1"/>
    <col min="8963" max="8970" width="9.140625" style="289" bestFit="1" customWidth="1"/>
    <col min="8971" max="8971" width="10.5703125" style="289" customWidth="1"/>
    <col min="8972" max="8972" width="0.7109375" style="289" customWidth="1"/>
    <col min="8973" max="8974" width="11.42578125" style="289"/>
    <col min="8975" max="8975" width="28.85546875" style="289" customWidth="1"/>
    <col min="8976" max="8976" width="7.5703125" style="289" bestFit="1" customWidth="1"/>
    <col min="8977" max="8978" width="9.140625" style="289" bestFit="1" customWidth="1"/>
    <col min="8979" max="8979" width="8.7109375" style="289" bestFit="1" customWidth="1"/>
    <col min="8980" max="8980" width="7.5703125" style="289" bestFit="1" customWidth="1"/>
    <col min="8981" max="9215" width="11.42578125" style="289"/>
    <col min="9216" max="9216" width="2.140625" style="289" customWidth="1"/>
    <col min="9217" max="9217" width="28.140625" style="289" customWidth="1"/>
    <col min="9218" max="9218" width="10.42578125" style="289" bestFit="1" customWidth="1"/>
    <col min="9219" max="9226" width="9.140625" style="289" bestFit="1" customWidth="1"/>
    <col min="9227" max="9227" width="10.5703125" style="289" customWidth="1"/>
    <col min="9228" max="9228" width="0.7109375" style="289" customWidth="1"/>
    <col min="9229" max="9230" width="11.42578125" style="289"/>
    <col min="9231" max="9231" width="28.85546875" style="289" customWidth="1"/>
    <col min="9232" max="9232" width="7.5703125" style="289" bestFit="1" customWidth="1"/>
    <col min="9233" max="9234" width="9.140625" style="289" bestFit="1" customWidth="1"/>
    <col min="9235" max="9235" width="8.7109375" style="289" bestFit="1" customWidth="1"/>
    <col min="9236" max="9236" width="7.5703125" style="289" bestFit="1" customWidth="1"/>
    <col min="9237" max="9471" width="11.42578125" style="289"/>
    <col min="9472" max="9472" width="2.140625" style="289" customWidth="1"/>
    <col min="9473" max="9473" width="28.140625" style="289" customWidth="1"/>
    <col min="9474" max="9474" width="10.42578125" style="289" bestFit="1" customWidth="1"/>
    <col min="9475" max="9482" width="9.140625" style="289" bestFit="1" customWidth="1"/>
    <col min="9483" max="9483" width="10.5703125" style="289" customWidth="1"/>
    <col min="9484" max="9484" width="0.7109375" style="289" customWidth="1"/>
    <col min="9485" max="9486" width="11.42578125" style="289"/>
    <col min="9487" max="9487" width="28.85546875" style="289" customWidth="1"/>
    <col min="9488" max="9488" width="7.5703125" style="289" bestFit="1" customWidth="1"/>
    <col min="9489" max="9490" width="9.140625" style="289" bestFit="1" customWidth="1"/>
    <col min="9491" max="9491" width="8.7109375" style="289" bestFit="1" customWidth="1"/>
    <col min="9492" max="9492" width="7.5703125" style="289" bestFit="1" customWidth="1"/>
    <col min="9493" max="9727" width="11.42578125" style="289"/>
    <col min="9728" max="9728" width="2.140625" style="289" customWidth="1"/>
    <col min="9729" max="9729" width="28.140625" style="289" customWidth="1"/>
    <col min="9730" max="9730" width="10.42578125" style="289" bestFit="1" customWidth="1"/>
    <col min="9731" max="9738" width="9.140625" style="289" bestFit="1" customWidth="1"/>
    <col min="9739" max="9739" width="10.5703125" style="289" customWidth="1"/>
    <col min="9740" max="9740" width="0.7109375" style="289" customWidth="1"/>
    <col min="9741" max="9742" width="11.42578125" style="289"/>
    <col min="9743" max="9743" width="28.85546875" style="289" customWidth="1"/>
    <col min="9744" max="9744" width="7.5703125" style="289" bestFit="1" customWidth="1"/>
    <col min="9745" max="9746" width="9.140625" style="289" bestFit="1" customWidth="1"/>
    <col min="9747" max="9747" width="8.7109375" style="289" bestFit="1" customWidth="1"/>
    <col min="9748" max="9748" width="7.5703125" style="289" bestFit="1" customWidth="1"/>
    <col min="9749" max="9983" width="11.42578125" style="289"/>
    <col min="9984" max="9984" width="2.140625" style="289" customWidth="1"/>
    <col min="9985" max="9985" width="28.140625" style="289" customWidth="1"/>
    <col min="9986" max="9986" width="10.42578125" style="289" bestFit="1" customWidth="1"/>
    <col min="9987" max="9994" width="9.140625" style="289" bestFit="1" customWidth="1"/>
    <col min="9995" max="9995" width="10.5703125" style="289" customWidth="1"/>
    <col min="9996" max="9996" width="0.7109375" style="289" customWidth="1"/>
    <col min="9997" max="9998" width="11.42578125" style="289"/>
    <col min="9999" max="9999" width="28.85546875" style="289" customWidth="1"/>
    <col min="10000" max="10000" width="7.5703125" style="289" bestFit="1" customWidth="1"/>
    <col min="10001" max="10002" width="9.140625" style="289" bestFit="1" customWidth="1"/>
    <col min="10003" max="10003" width="8.7109375" style="289" bestFit="1" customWidth="1"/>
    <col min="10004" max="10004" width="7.5703125" style="289" bestFit="1" customWidth="1"/>
    <col min="10005" max="10239" width="11.42578125" style="289"/>
    <col min="10240" max="10240" width="2.140625" style="289" customWidth="1"/>
    <col min="10241" max="10241" width="28.140625" style="289" customWidth="1"/>
    <col min="10242" max="10242" width="10.42578125" style="289" bestFit="1" customWidth="1"/>
    <col min="10243" max="10250" width="9.140625" style="289" bestFit="1" customWidth="1"/>
    <col min="10251" max="10251" width="10.5703125" style="289" customWidth="1"/>
    <col min="10252" max="10252" width="0.7109375" style="289" customWidth="1"/>
    <col min="10253" max="10254" width="11.42578125" style="289"/>
    <col min="10255" max="10255" width="28.85546875" style="289" customWidth="1"/>
    <col min="10256" max="10256" width="7.5703125" style="289" bestFit="1" customWidth="1"/>
    <col min="10257" max="10258" width="9.140625" style="289" bestFit="1" customWidth="1"/>
    <col min="10259" max="10259" width="8.7109375" style="289" bestFit="1" customWidth="1"/>
    <col min="10260" max="10260" width="7.5703125" style="289" bestFit="1" customWidth="1"/>
    <col min="10261" max="10495" width="11.42578125" style="289"/>
    <col min="10496" max="10496" width="2.140625" style="289" customWidth="1"/>
    <col min="10497" max="10497" width="28.140625" style="289" customWidth="1"/>
    <col min="10498" max="10498" width="10.42578125" style="289" bestFit="1" customWidth="1"/>
    <col min="10499" max="10506" width="9.140625" style="289" bestFit="1" customWidth="1"/>
    <col min="10507" max="10507" width="10.5703125" style="289" customWidth="1"/>
    <col min="10508" max="10508" width="0.7109375" style="289" customWidth="1"/>
    <col min="10509" max="10510" width="11.42578125" style="289"/>
    <col min="10511" max="10511" width="28.85546875" style="289" customWidth="1"/>
    <col min="10512" max="10512" width="7.5703125" style="289" bestFit="1" customWidth="1"/>
    <col min="10513" max="10514" width="9.140625" style="289" bestFit="1" customWidth="1"/>
    <col min="10515" max="10515" width="8.7109375" style="289" bestFit="1" customWidth="1"/>
    <col min="10516" max="10516" width="7.5703125" style="289" bestFit="1" customWidth="1"/>
    <col min="10517" max="10751" width="11.42578125" style="289"/>
    <col min="10752" max="10752" width="2.140625" style="289" customWidth="1"/>
    <col min="10753" max="10753" width="28.140625" style="289" customWidth="1"/>
    <col min="10754" max="10754" width="10.42578125" style="289" bestFit="1" customWidth="1"/>
    <col min="10755" max="10762" width="9.140625" style="289" bestFit="1" customWidth="1"/>
    <col min="10763" max="10763" width="10.5703125" style="289" customWidth="1"/>
    <col min="10764" max="10764" width="0.7109375" style="289" customWidth="1"/>
    <col min="10765" max="10766" width="11.42578125" style="289"/>
    <col min="10767" max="10767" width="28.85546875" style="289" customWidth="1"/>
    <col min="10768" max="10768" width="7.5703125" style="289" bestFit="1" customWidth="1"/>
    <col min="10769" max="10770" width="9.140625" style="289" bestFit="1" customWidth="1"/>
    <col min="10771" max="10771" width="8.7109375" style="289" bestFit="1" customWidth="1"/>
    <col min="10772" max="10772" width="7.5703125" style="289" bestFit="1" customWidth="1"/>
    <col min="10773" max="11007" width="11.42578125" style="289"/>
    <col min="11008" max="11008" width="2.140625" style="289" customWidth="1"/>
    <col min="11009" max="11009" width="28.140625" style="289" customWidth="1"/>
    <col min="11010" max="11010" width="10.42578125" style="289" bestFit="1" customWidth="1"/>
    <col min="11011" max="11018" width="9.140625" style="289" bestFit="1" customWidth="1"/>
    <col min="11019" max="11019" width="10.5703125" style="289" customWidth="1"/>
    <col min="11020" max="11020" width="0.7109375" style="289" customWidth="1"/>
    <col min="11021" max="11022" width="11.42578125" style="289"/>
    <col min="11023" max="11023" width="28.85546875" style="289" customWidth="1"/>
    <col min="11024" max="11024" width="7.5703125" style="289" bestFit="1" customWidth="1"/>
    <col min="11025" max="11026" width="9.140625" style="289" bestFit="1" customWidth="1"/>
    <col min="11027" max="11027" width="8.7109375" style="289" bestFit="1" customWidth="1"/>
    <col min="11028" max="11028" width="7.5703125" style="289" bestFit="1" customWidth="1"/>
    <col min="11029" max="11263" width="11.42578125" style="289"/>
    <col min="11264" max="11264" width="2.140625" style="289" customWidth="1"/>
    <col min="11265" max="11265" width="28.140625" style="289" customWidth="1"/>
    <col min="11266" max="11266" width="10.42578125" style="289" bestFit="1" customWidth="1"/>
    <col min="11267" max="11274" width="9.140625" style="289" bestFit="1" customWidth="1"/>
    <col min="11275" max="11275" width="10.5703125" style="289" customWidth="1"/>
    <col min="11276" max="11276" width="0.7109375" style="289" customWidth="1"/>
    <col min="11277" max="11278" width="11.42578125" style="289"/>
    <col min="11279" max="11279" width="28.85546875" style="289" customWidth="1"/>
    <col min="11280" max="11280" width="7.5703125" style="289" bestFit="1" customWidth="1"/>
    <col min="11281" max="11282" width="9.140625" style="289" bestFit="1" customWidth="1"/>
    <col min="11283" max="11283" width="8.7109375" style="289" bestFit="1" customWidth="1"/>
    <col min="11284" max="11284" width="7.5703125" style="289" bestFit="1" customWidth="1"/>
    <col min="11285" max="11519" width="11.42578125" style="289"/>
    <col min="11520" max="11520" width="2.140625" style="289" customWidth="1"/>
    <col min="11521" max="11521" width="28.140625" style="289" customWidth="1"/>
    <col min="11522" max="11522" width="10.42578125" style="289" bestFit="1" customWidth="1"/>
    <col min="11523" max="11530" width="9.140625" style="289" bestFit="1" customWidth="1"/>
    <col min="11531" max="11531" width="10.5703125" style="289" customWidth="1"/>
    <col min="11532" max="11532" width="0.7109375" style="289" customWidth="1"/>
    <col min="11533" max="11534" width="11.42578125" style="289"/>
    <col min="11535" max="11535" width="28.85546875" style="289" customWidth="1"/>
    <col min="11536" max="11536" width="7.5703125" style="289" bestFit="1" customWidth="1"/>
    <col min="11537" max="11538" width="9.140625" style="289" bestFit="1" customWidth="1"/>
    <col min="11539" max="11539" width="8.7109375" style="289" bestFit="1" customWidth="1"/>
    <col min="11540" max="11540" width="7.5703125" style="289" bestFit="1" customWidth="1"/>
    <col min="11541" max="11775" width="11.42578125" style="289"/>
    <col min="11776" max="11776" width="2.140625" style="289" customWidth="1"/>
    <col min="11777" max="11777" width="28.140625" style="289" customWidth="1"/>
    <col min="11778" max="11778" width="10.42578125" style="289" bestFit="1" customWidth="1"/>
    <col min="11779" max="11786" width="9.140625" style="289" bestFit="1" customWidth="1"/>
    <col min="11787" max="11787" width="10.5703125" style="289" customWidth="1"/>
    <col min="11788" max="11788" width="0.7109375" style="289" customWidth="1"/>
    <col min="11789" max="11790" width="11.42578125" style="289"/>
    <col min="11791" max="11791" width="28.85546875" style="289" customWidth="1"/>
    <col min="11792" max="11792" width="7.5703125" style="289" bestFit="1" customWidth="1"/>
    <col min="11793" max="11794" width="9.140625" style="289" bestFit="1" customWidth="1"/>
    <col min="11795" max="11795" width="8.7109375" style="289" bestFit="1" customWidth="1"/>
    <col min="11796" max="11796" width="7.5703125" style="289" bestFit="1" customWidth="1"/>
    <col min="11797" max="12031" width="11.42578125" style="289"/>
    <col min="12032" max="12032" width="2.140625" style="289" customWidth="1"/>
    <col min="12033" max="12033" width="28.140625" style="289" customWidth="1"/>
    <col min="12034" max="12034" width="10.42578125" style="289" bestFit="1" customWidth="1"/>
    <col min="12035" max="12042" width="9.140625" style="289" bestFit="1" customWidth="1"/>
    <col min="12043" max="12043" width="10.5703125" style="289" customWidth="1"/>
    <col min="12044" max="12044" width="0.7109375" style="289" customWidth="1"/>
    <col min="12045" max="12046" width="11.42578125" style="289"/>
    <col min="12047" max="12047" width="28.85546875" style="289" customWidth="1"/>
    <col min="12048" max="12048" width="7.5703125" style="289" bestFit="1" customWidth="1"/>
    <col min="12049" max="12050" width="9.140625" style="289" bestFit="1" customWidth="1"/>
    <col min="12051" max="12051" width="8.7109375" style="289" bestFit="1" customWidth="1"/>
    <col min="12052" max="12052" width="7.5703125" style="289" bestFit="1" customWidth="1"/>
    <col min="12053" max="12287" width="11.42578125" style="289"/>
    <col min="12288" max="12288" width="2.140625" style="289" customWidth="1"/>
    <col min="12289" max="12289" width="28.140625" style="289" customWidth="1"/>
    <col min="12290" max="12290" width="10.42578125" style="289" bestFit="1" customWidth="1"/>
    <col min="12291" max="12298" width="9.140625" style="289" bestFit="1" customWidth="1"/>
    <col min="12299" max="12299" width="10.5703125" style="289" customWidth="1"/>
    <col min="12300" max="12300" width="0.7109375" style="289" customWidth="1"/>
    <col min="12301" max="12302" width="11.42578125" style="289"/>
    <col min="12303" max="12303" width="28.85546875" style="289" customWidth="1"/>
    <col min="12304" max="12304" width="7.5703125" style="289" bestFit="1" customWidth="1"/>
    <col min="12305" max="12306" width="9.140625" style="289" bestFit="1" customWidth="1"/>
    <col min="12307" max="12307" width="8.7109375" style="289" bestFit="1" customWidth="1"/>
    <col min="12308" max="12308" width="7.5703125" style="289" bestFit="1" customWidth="1"/>
    <col min="12309" max="12543" width="11.42578125" style="289"/>
    <col min="12544" max="12544" width="2.140625" style="289" customWidth="1"/>
    <col min="12545" max="12545" width="28.140625" style="289" customWidth="1"/>
    <col min="12546" max="12546" width="10.42578125" style="289" bestFit="1" customWidth="1"/>
    <col min="12547" max="12554" width="9.140625" style="289" bestFit="1" customWidth="1"/>
    <col min="12555" max="12555" width="10.5703125" style="289" customWidth="1"/>
    <col min="12556" max="12556" width="0.7109375" style="289" customWidth="1"/>
    <col min="12557" max="12558" width="11.42578125" style="289"/>
    <col min="12559" max="12559" width="28.85546875" style="289" customWidth="1"/>
    <col min="12560" max="12560" width="7.5703125" style="289" bestFit="1" customWidth="1"/>
    <col min="12561" max="12562" width="9.140625" style="289" bestFit="1" customWidth="1"/>
    <col min="12563" max="12563" width="8.7109375" style="289" bestFit="1" customWidth="1"/>
    <col min="12564" max="12564" width="7.5703125" style="289" bestFit="1" customWidth="1"/>
    <col min="12565" max="12799" width="11.42578125" style="289"/>
    <col min="12800" max="12800" width="2.140625" style="289" customWidth="1"/>
    <col min="12801" max="12801" width="28.140625" style="289" customWidth="1"/>
    <col min="12802" max="12802" width="10.42578125" style="289" bestFit="1" customWidth="1"/>
    <col min="12803" max="12810" width="9.140625" style="289" bestFit="1" customWidth="1"/>
    <col min="12811" max="12811" width="10.5703125" style="289" customWidth="1"/>
    <col min="12812" max="12812" width="0.7109375" style="289" customWidth="1"/>
    <col min="12813" max="12814" width="11.42578125" style="289"/>
    <col min="12815" max="12815" width="28.85546875" style="289" customWidth="1"/>
    <col min="12816" max="12816" width="7.5703125" style="289" bestFit="1" customWidth="1"/>
    <col min="12817" max="12818" width="9.140625" style="289" bestFit="1" customWidth="1"/>
    <col min="12819" max="12819" width="8.7109375" style="289" bestFit="1" customWidth="1"/>
    <col min="12820" max="12820" width="7.5703125" style="289" bestFit="1" customWidth="1"/>
    <col min="12821" max="13055" width="11.42578125" style="289"/>
    <col min="13056" max="13056" width="2.140625" style="289" customWidth="1"/>
    <col min="13057" max="13057" width="28.140625" style="289" customWidth="1"/>
    <col min="13058" max="13058" width="10.42578125" style="289" bestFit="1" customWidth="1"/>
    <col min="13059" max="13066" width="9.140625" style="289" bestFit="1" customWidth="1"/>
    <col min="13067" max="13067" width="10.5703125" style="289" customWidth="1"/>
    <col min="13068" max="13068" width="0.7109375" style="289" customWidth="1"/>
    <col min="13069" max="13070" width="11.42578125" style="289"/>
    <col min="13071" max="13071" width="28.85546875" style="289" customWidth="1"/>
    <col min="13072" max="13072" width="7.5703125" style="289" bestFit="1" customWidth="1"/>
    <col min="13073" max="13074" width="9.140625" style="289" bestFit="1" customWidth="1"/>
    <col min="13075" max="13075" width="8.7109375" style="289" bestFit="1" customWidth="1"/>
    <col min="13076" max="13076" width="7.5703125" style="289" bestFit="1" customWidth="1"/>
    <col min="13077" max="13311" width="11.42578125" style="289"/>
    <col min="13312" max="13312" width="2.140625" style="289" customWidth="1"/>
    <col min="13313" max="13313" width="28.140625" style="289" customWidth="1"/>
    <col min="13314" max="13314" width="10.42578125" style="289" bestFit="1" customWidth="1"/>
    <col min="13315" max="13322" width="9.140625" style="289" bestFit="1" customWidth="1"/>
    <col min="13323" max="13323" width="10.5703125" style="289" customWidth="1"/>
    <col min="13324" max="13324" width="0.7109375" style="289" customWidth="1"/>
    <col min="13325" max="13326" width="11.42578125" style="289"/>
    <col min="13327" max="13327" width="28.85546875" style="289" customWidth="1"/>
    <col min="13328" max="13328" width="7.5703125" style="289" bestFit="1" customWidth="1"/>
    <col min="13329" max="13330" width="9.140625" style="289" bestFit="1" customWidth="1"/>
    <col min="13331" max="13331" width="8.7109375" style="289" bestFit="1" customWidth="1"/>
    <col min="13332" max="13332" width="7.5703125" style="289" bestFit="1" customWidth="1"/>
    <col min="13333" max="13567" width="11.42578125" style="289"/>
    <col min="13568" max="13568" width="2.140625" style="289" customWidth="1"/>
    <col min="13569" max="13569" width="28.140625" style="289" customWidth="1"/>
    <col min="13570" max="13570" width="10.42578125" style="289" bestFit="1" customWidth="1"/>
    <col min="13571" max="13578" width="9.140625" style="289" bestFit="1" customWidth="1"/>
    <col min="13579" max="13579" width="10.5703125" style="289" customWidth="1"/>
    <col min="13580" max="13580" width="0.7109375" style="289" customWidth="1"/>
    <col min="13581" max="13582" width="11.42578125" style="289"/>
    <col min="13583" max="13583" width="28.85546875" style="289" customWidth="1"/>
    <col min="13584" max="13584" width="7.5703125" style="289" bestFit="1" customWidth="1"/>
    <col min="13585" max="13586" width="9.140625" style="289" bestFit="1" customWidth="1"/>
    <col min="13587" max="13587" width="8.7109375" style="289" bestFit="1" customWidth="1"/>
    <col min="13588" max="13588" width="7.5703125" style="289" bestFit="1" customWidth="1"/>
    <col min="13589" max="13823" width="11.42578125" style="289"/>
    <col min="13824" max="13824" width="2.140625" style="289" customWidth="1"/>
    <col min="13825" max="13825" width="28.140625" style="289" customWidth="1"/>
    <col min="13826" max="13826" width="10.42578125" style="289" bestFit="1" customWidth="1"/>
    <col min="13827" max="13834" width="9.140625" style="289" bestFit="1" customWidth="1"/>
    <col min="13835" max="13835" width="10.5703125" style="289" customWidth="1"/>
    <col min="13836" max="13836" width="0.7109375" style="289" customWidth="1"/>
    <col min="13837" max="13838" width="11.42578125" style="289"/>
    <col min="13839" max="13839" width="28.85546875" style="289" customWidth="1"/>
    <col min="13840" max="13840" width="7.5703125" style="289" bestFit="1" customWidth="1"/>
    <col min="13841" max="13842" width="9.140625" style="289" bestFit="1" customWidth="1"/>
    <col min="13843" max="13843" width="8.7109375" style="289" bestFit="1" customWidth="1"/>
    <col min="13844" max="13844" width="7.5703125" style="289" bestFit="1" customWidth="1"/>
    <col min="13845" max="14079" width="11.42578125" style="289"/>
    <col min="14080" max="14080" width="2.140625" style="289" customWidth="1"/>
    <col min="14081" max="14081" width="28.140625" style="289" customWidth="1"/>
    <col min="14082" max="14082" width="10.42578125" style="289" bestFit="1" customWidth="1"/>
    <col min="14083" max="14090" width="9.140625" style="289" bestFit="1" customWidth="1"/>
    <col min="14091" max="14091" width="10.5703125" style="289" customWidth="1"/>
    <col min="14092" max="14092" width="0.7109375" style="289" customWidth="1"/>
    <col min="14093" max="14094" width="11.42578125" style="289"/>
    <col min="14095" max="14095" width="28.85546875" style="289" customWidth="1"/>
    <col min="14096" max="14096" width="7.5703125" style="289" bestFit="1" customWidth="1"/>
    <col min="14097" max="14098" width="9.140625" style="289" bestFit="1" customWidth="1"/>
    <col min="14099" max="14099" width="8.7109375" style="289" bestFit="1" customWidth="1"/>
    <col min="14100" max="14100" width="7.5703125" style="289" bestFit="1" customWidth="1"/>
    <col min="14101" max="14335" width="11.42578125" style="289"/>
    <col min="14336" max="14336" width="2.140625" style="289" customWidth="1"/>
    <col min="14337" max="14337" width="28.140625" style="289" customWidth="1"/>
    <col min="14338" max="14338" width="10.42578125" style="289" bestFit="1" customWidth="1"/>
    <col min="14339" max="14346" width="9.140625" style="289" bestFit="1" customWidth="1"/>
    <col min="14347" max="14347" width="10.5703125" style="289" customWidth="1"/>
    <col min="14348" max="14348" width="0.7109375" style="289" customWidth="1"/>
    <col min="14349" max="14350" width="11.42578125" style="289"/>
    <col min="14351" max="14351" width="28.85546875" style="289" customWidth="1"/>
    <col min="14352" max="14352" width="7.5703125" style="289" bestFit="1" customWidth="1"/>
    <col min="14353" max="14354" width="9.140625" style="289" bestFit="1" customWidth="1"/>
    <col min="14355" max="14355" width="8.7109375" style="289" bestFit="1" customWidth="1"/>
    <col min="14356" max="14356" width="7.5703125" style="289" bestFit="1" customWidth="1"/>
    <col min="14357" max="14591" width="11.42578125" style="289"/>
    <col min="14592" max="14592" width="2.140625" style="289" customWidth="1"/>
    <col min="14593" max="14593" width="28.140625" style="289" customWidth="1"/>
    <col min="14594" max="14594" width="10.42578125" style="289" bestFit="1" customWidth="1"/>
    <col min="14595" max="14602" width="9.140625" style="289" bestFit="1" customWidth="1"/>
    <col min="14603" max="14603" width="10.5703125" style="289" customWidth="1"/>
    <col min="14604" max="14604" width="0.7109375" style="289" customWidth="1"/>
    <col min="14605" max="14606" width="11.42578125" style="289"/>
    <col min="14607" max="14607" width="28.85546875" style="289" customWidth="1"/>
    <col min="14608" max="14608" width="7.5703125" style="289" bestFit="1" customWidth="1"/>
    <col min="14609" max="14610" width="9.140625" style="289" bestFit="1" customWidth="1"/>
    <col min="14611" max="14611" width="8.7109375" style="289" bestFit="1" customWidth="1"/>
    <col min="14612" max="14612" width="7.5703125" style="289" bestFit="1" customWidth="1"/>
    <col min="14613" max="14847" width="11.42578125" style="289"/>
    <col min="14848" max="14848" width="2.140625" style="289" customWidth="1"/>
    <col min="14849" max="14849" width="28.140625" style="289" customWidth="1"/>
    <col min="14850" max="14850" width="10.42578125" style="289" bestFit="1" customWidth="1"/>
    <col min="14851" max="14858" width="9.140625" style="289" bestFit="1" customWidth="1"/>
    <col min="14859" max="14859" width="10.5703125" style="289" customWidth="1"/>
    <col min="14860" max="14860" width="0.7109375" style="289" customWidth="1"/>
    <col min="14861" max="14862" width="11.42578125" style="289"/>
    <col min="14863" max="14863" width="28.85546875" style="289" customWidth="1"/>
    <col min="14864" max="14864" width="7.5703125" style="289" bestFit="1" customWidth="1"/>
    <col min="14865" max="14866" width="9.140625" style="289" bestFit="1" customWidth="1"/>
    <col min="14867" max="14867" width="8.7109375" style="289" bestFit="1" customWidth="1"/>
    <col min="14868" max="14868" width="7.5703125" style="289" bestFit="1" customWidth="1"/>
    <col min="14869" max="15103" width="11.42578125" style="289"/>
    <col min="15104" max="15104" width="2.140625" style="289" customWidth="1"/>
    <col min="15105" max="15105" width="28.140625" style="289" customWidth="1"/>
    <col min="15106" max="15106" width="10.42578125" style="289" bestFit="1" customWidth="1"/>
    <col min="15107" max="15114" width="9.140625" style="289" bestFit="1" customWidth="1"/>
    <col min="15115" max="15115" width="10.5703125" style="289" customWidth="1"/>
    <col min="15116" max="15116" width="0.7109375" style="289" customWidth="1"/>
    <col min="15117" max="15118" width="11.42578125" style="289"/>
    <col min="15119" max="15119" width="28.85546875" style="289" customWidth="1"/>
    <col min="15120" max="15120" width="7.5703125" style="289" bestFit="1" customWidth="1"/>
    <col min="15121" max="15122" width="9.140625" style="289" bestFit="1" customWidth="1"/>
    <col min="15123" max="15123" width="8.7109375" style="289" bestFit="1" customWidth="1"/>
    <col min="15124" max="15124" width="7.5703125" style="289" bestFit="1" customWidth="1"/>
    <col min="15125" max="15359" width="11.42578125" style="289"/>
    <col min="15360" max="15360" width="2.140625" style="289" customWidth="1"/>
    <col min="15361" max="15361" width="28.140625" style="289" customWidth="1"/>
    <col min="15362" max="15362" width="10.42578125" style="289" bestFit="1" customWidth="1"/>
    <col min="15363" max="15370" width="9.140625" style="289" bestFit="1" customWidth="1"/>
    <col min="15371" max="15371" width="10.5703125" style="289" customWidth="1"/>
    <col min="15372" max="15372" width="0.7109375" style="289" customWidth="1"/>
    <col min="15373" max="15374" width="11.42578125" style="289"/>
    <col min="15375" max="15375" width="28.85546875" style="289" customWidth="1"/>
    <col min="15376" max="15376" width="7.5703125" style="289" bestFit="1" customWidth="1"/>
    <col min="15377" max="15378" width="9.140625" style="289" bestFit="1" customWidth="1"/>
    <col min="15379" max="15379" width="8.7109375" style="289" bestFit="1" customWidth="1"/>
    <col min="15380" max="15380" width="7.5703125" style="289" bestFit="1" customWidth="1"/>
    <col min="15381" max="15615" width="11.42578125" style="289"/>
    <col min="15616" max="15616" width="2.140625" style="289" customWidth="1"/>
    <col min="15617" max="15617" width="28.140625" style="289" customWidth="1"/>
    <col min="15618" max="15618" width="10.42578125" style="289" bestFit="1" customWidth="1"/>
    <col min="15619" max="15626" width="9.140625" style="289" bestFit="1" customWidth="1"/>
    <col min="15627" max="15627" width="10.5703125" style="289" customWidth="1"/>
    <col min="15628" max="15628" width="0.7109375" style="289" customWidth="1"/>
    <col min="15629" max="15630" width="11.42578125" style="289"/>
    <col min="15631" max="15631" width="28.85546875" style="289" customWidth="1"/>
    <col min="15632" max="15632" width="7.5703125" style="289" bestFit="1" customWidth="1"/>
    <col min="15633" max="15634" width="9.140625" style="289" bestFit="1" customWidth="1"/>
    <col min="15635" max="15635" width="8.7109375" style="289" bestFit="1" customWidth="1"/>
    <col min="15636" max="15636" width="7.5703125" style="289" bestFit="1" customWidth="1"/>
    <col min="15637" max="15871" width="11.42578125" style="289"/>
    <col min="15872" max="15872" width="2.140625" style="289" customWidth="1"/>
    <col min="15873" max="15873" width="28.140625" style="289" customWidth="1"/>
    <col min="15874" max="15874" width="10.42578125" style="289" bestFit="1" customWidth="1"/>
    <col min="15875" max="15882" width="9.140625" style="289" bestFit="1" customWidth="1"/>
    <col min="15883" max="15883" width="10.5703125" style="289" customWidth="1"/>
    <col min="15884" max="15884" width="0.7109375" style="289" customWidth="1"/>
    <col min="15885" max="15886" width="11.42578125" style="289"/>
    <col min="15887" max="15887" width="28.85546875" style="289" customWidth="1"/>
    <col min="15888" max="15888" width="7.5703125" style="289" bestFit="1" customWidth="1"/>
    <col min="15889" max="15890" width="9.140625" style="289" bestFit="1" customWidth="1"/>
    <col min="15891" max="15891" width="8.7109375" style="289" bestFit="1" customWidth="1"/>
    <col min="15892" max="15892" width="7.5703125" style="289" bestFit="1" customWidth="1"/>
    <col min="15893" max="16127" width="11.42578125" style="289"/>
    <col min="16128" max="16128" width="2.140625" style="289" customWidth="1"/>
    <col min="16129" max="16129" width="28.140625" style="289" customWidth="1"/>
    <col min="16130" max="16130" width="10.42578125" style="289" bestFit="1" customWidth="1"/>
    <col min="16131" max="16138" width="9.140625" style="289" bestFit="1" customWidth="1"/>
    <col min="16139" max="16139" width="10.5703125" style="289" customWidth="1"/>
    <col min="16140" max="16140" width="0.7109375" style="289" customWidth="1"/>
    <col min="16141" max="16142" width="11.42578125" style="289"/>
    <col min="16143" max="16143" width="28.85546875" style="289" customWidth="1"/>
    <col min="16144" max="16144" width="7.5703125" style="289" bestFit="1" customWidth="1"/>
    <col min="16145" max="16146" width="9.140625" style="289" bestFit="1" customWidth="1"/>
    <col min="16147" max="16147" width="8.7109375" style="289" bestFit="1" customWidth="1"/>
    <col min="16148" max="16148" width="7.5703125" style="289" bestFit="1" customWidth="1"/>
    <col min="16149" max="16384" width="11.42578125" style="289"/>
  </cols>
  <sheetData>
    <row r="1" spans="2:34" x14ac:dyDescent="0.25">
      <c r="B1" s="288"/>
    </row>
    <row r="2" spans="2:34" x14ac:dyDescent="0.25">
      <c r="B2" s="830" t="s">
        <v>209</v>
      </c>
    </row>
    <row r="3" spans="2:34" x14ac:dyDescent="0.25">
      <c r="B3" s="288" t="s">
        <v>210</v>
      </c>
    </row>
    <row r="4" spans="2:34" ht="16.5" thickBot="1" x14ac:dyDescent="0.3">
      <c r="B4" s="288" t="s">
        <v>231</v>
      </c>
    </row>
    <row r="5" spans="2:34" x14ac:dyDescent="0.25">
      <c r="B5" s="726"/>
      <c r="C5" s="1363">
        <v>2006</v>
      </c>
      <c r="D5" s="1363">
        <f>+C5+1</f>
        <v>2007</v>
      </c>
      <c r="E5" s="1363">
        <f t="shared" ref="E5:L5" si="0">+D5+1</f>
        <v>2008</v>
      </c>
      <c r="F5" s="1363">
        <f t="shared" si="0"/>
        <v>2009</v>
      </c>
      <c r="G5" s="1363">
        <f t="shared" si="0"/>
        <v>2010</v>
      </c>
      <c r="H5" s="1363">
        <f t="shared" si="0"/>
        <v>2011</v>
      </c>
      <c r="I5" s="1363">
        <f t="shared" si="0"/>
        <v>2012</v>
      </c>
      <c r="J5" s="1363">
        <f t="shared" si="0"/>
        <v>2013</v>
      </c>
      <c r="K5" s="1363">
        <f t="shared" si="0"/>
        <v>2014</v>
      </c>
      <c r="L5" s="1364">
        <f t="shared" si="0"/>
        <v>2015</v>
      </c>
    </row>
    <row r="6" spans="2:34" x14ac:dyDescent="0.25">
      <c r="B6" s="300" t="s">
        <v>211</v>
      </c>
      <c r="C6" s="553"/>
      <c r="D6" s="553">
        <v>0.02</v>
      </c>
      <c r="E6" s="553">
        <v>0.02</v>
      </c>
      <c r="F6" s="553">
        <v>0.02</v>
      </c>
      <c r="G6" s="553">
        <v>0.02</v>
      </c>
      <c r="H6" s="553">
        <v>0.02</v>
      </c>
      <c r="I6" s="553">
        <v>0.02</v>
      </c>
      <c r="J6" s="553">
        <v>0.02</v>
      </c>
      <c r="K6" s="553">
        <v>0.02</v>
      </c>
      <c r="L6" s="551">
        <v>0.02</v>
      </c>
    </row>
    <row r="7" spans="2:34" x14ac:dyDescent="0.25">
      <c r="B7" s="300"/>
      <c r="C7" s="553"/>
      <c r="D7" s="553"/>
      <c r="E7" s="553"/>
      <c r="F7" s="553"/>
      <c r="G7" s="553"/>
      <c r="H7" s="553"/>
      <c r="I7" s="553"/>
      <c r="J7" s="553"/>
      <c r="K7" s="553"/>
      <c r="L7" s="551"/>
    </row>
    <row r="8" spans="2:34" x14ac:dyDescent="0.25">
      <c r="B8" s="300" t="s">
        <v>212</v>
      </c>
      <c r="C8" s="701">
        <f>45000*12</f>
        <v>540000</v>
      </c>
      <c r="D8" s="701">
        <f>+C8*(1+D6)</f>
        <v>550800</v>
      </c>
      <c r="E8" s="701">
        <f t="shared" ref="E8:L8" si="1">+D8*(1+E6)</f>
        <v>561816</v>
      </c>
      <c r="F8" s="701">
        <f t="shared" si="1"/>
        <v>573052.32000000007</v>
      </c>
      <c r="G8" s="701">
        <f t="shared" si="1"/>
        <v>584513.36640000006</v>
      </c>
      <c r="H8" s="701">
        <f t="shared" si="1"/>
        <v>596203.6337280001</v>
      </c>
      <c r="I8" s="701">
        <f t="shared" si="1"/>
        <v>608127.70640256011</v>
      </c>
      <c r="J8" s="701">
        <f t="shared" si="1"/>
        <v>620290.26053061138</v>
      </c>
      <c r="K8" s="701">
        <f t="shared" si="1"/>
        <v>632696.06574122363</v>
      </c>
      <c r="L8" s="742">
        <f t="shared" si="1"/>
        <v>645349.98705604812</v>
      </c>
      <c r="M8" s="758"/>
      <c r="N8" s="758"/>
      <c r="O8" s="758"/>
      <c r="P8" s="758"/>
      <c r="Q8" s="758"/>
      <c r="R8" s="758"/>
      <c r="S8" s="758"/>
      <c r="T8" s="758"/>
      <c r="U8" s="758"/>
      <c r="V8" s="758"/>
      <c r="W8" s="758"/>
      <c r="X8" s="758"/>
      <c r="Y8" s="758"/>
      <c r="Z8" s="758"/>
      <c r="AA8" s="758"/>
      <c r="AB8" s="758"/>
      <c r="AC8" s="758"/>
      <c r="AD8" s="758"/>
      <c r="AE8" s="758"/>
      <c r="AF8" s="758"/>
      <c r="AG8" s="758"/>
      <c r="AH8" s="758"/>
    </row>
    <row r="9" spans="2:34" x14ac:dyDescent="0.25">
      <c r="B9" s="300" t="s">
        <v>213</v>
      </c>
      <c r="C9" s="701">
        <f>7000*12</f>
        <v>84000</v>
      </c>
      <c r="D9" s="701">
        <f>+C9*(1+D6)</f>
        <v>85680</v>
      </c>
      <c r="E9" s="701">
        <f t="shared" ref="E9:L9" si="2">+D9*(1+E6)</f>
        <v>87393.600000000006</v>
      </c>
      <c r="F9" s="701">
        <f t="shared" si="2"/>
        <v>89141.472000000009</v>
      </c>
      <c r="G9" s="701">
        <f t="shared" si="2"/>
        <v>90924.30144000001</v>
      </c>
      <c r="H9" s="701">
        <f t="shared" si="2"/>
        <v>92742.787468800016</v>
      </c>
      <c r="I9" s="701">
        <f t="shared" si="2"/>
        <v>94597.643218176017</v>
      </c>
      <c r="J9" s="701">
        <f t="shared" si="2"/>
        <v>96489.596082539545</v>
      </c>
      <c r="K9" s="701">
        <f t="shared" si="2"/>
        <v>98419.388004190332</v>
      </c>
      <c r="L9" s="742">
        <f t="shared" si="2"/>
        <v>100387.77576427413</v>
      </c>
      <c r="M9" s="758"/>
      <c r="N9" s="758"/>
      <c r="O9" s="758"/>
      <c r="P9" s="758"/>
      <c r="Q9" s="758"/>
      <c r="R9" s="758"/>
      <c r="S9" s="758"/>
      <c r="T9" s="758"/>
      <c r="U9" s="758"/>
      <c r="V9" s="758"/>
      <c r="W9" s="758"/>
      <c r="X9" s="758"/>
      <c r="Y9" s="758"/>
      <c r="Z9" s="758"/>
      <c r="AA9" s="758"/>
      <c r="AB9" s="758"/>
      <c r="AC9" s="758"/>
      <c r="AD9" s="758"/>
      <c r="AE9" s="758"/>
      <c r="AF9" s="758"/>
      <c r="AG9" s="758"/>
      <c r="AH9" s="758"/>
    </row>
    <row r="10" spans="2:34" x14ac:dyDescent="0.25">
      <c r="B10" s="1365" t="s">
        <v>214</v>
      </c>
      <c r="C10" s="1366">
        <f>SUM(C8:C9)</f>
        <v>624000</v>
      </c>
      <c r="D10" s="1366">
        <f t="shared" ref="D10:L10" si="3">SUM(D8:D9)</f>
        <v>636480</v>
      </c>
      <c r="E10" s="1366">
        <f t="shared" si="3"/>
        <v>649209.59999999998</v>
      </c>
      <c r="F10" s="1366">
        <f t="shared" si="3"/>
        <v>662193.79200000013</v>
      </c>
      <c r="G10" s="1366">
        <f t="shared" si="3"/>
        <v>675437.66784000001</v>
      </c>
      <c r="H10" s="1366">
        <f t="shared" si="3"/>
        <v>688946.42119680007</v>
      </c>
      <c r="I10" s="1366">
        <f t="shared" si="3"/>
        <v>702725.34962073609</v>
      </c>
      <c r="J10" s="1366">
        <f t="shared" si="3"/>
        <v>716779.85661315091</v>
      </c>
      <c r="K10" s="1366">
        <f t="shared" si="3"/>
        <v>731115.45374541392</v>
      </c>
      <c r="L10" s="1367">
        <f t="shared" si="3"/>
        <v>745737.7628203223</v>
      </c>
      <c r="M10" s="758"/>
      <c r="N10" s="758"/>
      <c r="O10" s="758"/>
      <c r="P10" s="758"/>
      <c r="Q10" s="758"/>
      <c r="R10" s="758"/>
      <c r="S10" s="758"/>
      <c r="T10" s="758"/>
      <c r="U10" s="758"/>
      <c r="V10" s="758"/>
      <c r="W10" s="758"/>
      <c r="X10" s="758"/>
      <c r="Y10" s="758"/>
      <c r="Z10" s="758"/>
      <c r="AA10" s="758"/>
      <c r="AB10" s="758"/>
      <c r="AC10" s="758"/>
      <c r="AD10" s="758"/>
      <c r="AE10" s="758"/>
      <c r="AF10" s="758"/>
      <c r="AG10" s="758"/>
      <c r="AH10" s="758"/>
    </row>
    <row r="11" spans="2:34" x14ac:dyDescent="0.25">
      <c r="B11" s="300"/>
      <c r="C11" s="701"/>
      <c r="D11" s="701"/>
      <c r="E11" s="701"/>
      <c r="F11" s="701"/>
      <c r="G11" s="701"/>
      <c r="H11" s="701"/>
      <c r="I11" s="701"/>
      <c r="J11" s="701"/>
      <c r="K11" s="701"/>
      <c r="L11" s="742"/>
      <c r="M11" s="758"/>
      <c r="N11" s="758"/>
      <c r="O11" s="758"/>
      <c r="P11" s="758"/>
      <c r="Q11" s="758"/>
      <c r="R11" s="758"/>
      <c r="S11" s="758"/>
      <c r="T11" s="758"/>
      <c r="U11" s="758"/>
      <c r="V11" s="758"/>
      <c r="W11" s="758"/>
      <c r="X11" s="758"/>
      <c r="Y11" s="758"/>
      <c r="Z11" s="758"/>
      <c r="AA11" s="758"/>
      <c r="AB11" s="758"/>
      <c r="AC11" s="758"/>
      <c r="AD11" s="758"/>
      <c r="AE11" s="758"/>
      <c r="AF11" s="758"/>
      <c r="AG11" s="758"/>
      <c r="AH11" s="758"/>
    </row>
    <row r="12" spans="2:34" x14ac:dyDescent="0.25">
      <c r="B12" s="300" t="s">
        <v>215</v>
      </c>
      <c r="C12" s="702">
        <v>0.05</v>
      </c>
      <c r="D12" s="701"/>
      <c r="E12" s="701"/>
      <c r="F12" s="701"/>
      <c r="G12" s="701"/>
      <c r="H12" s="701"/>
      <c r="I12" s="701"/>
      <c r="J12" s="701"/>
      <c r="K12" s="701"/>
      <c r="L12" s="742"/>
      <c r="M12" s="758"/>
      <c r="N12" s="758"/>
      <c r="O12" s="758"/>
      <c r="P12" s="758"/>
      <c r="Q12" s="758"/>
      <c r="R12" s="758"/>
      <c r="S12" s="758"/>
      <c r="T12" s="758"/>
      <c r="U12" s="758"/>
      <c r="V12" s="758"/>
      <c r="W12" s="758"/>
      <c r="X12" s="758"/>
      <c r="Y12" s="758"/>
      <c r="Z12" s="758"/>
      <c r="AA12" s="758"/>
      <c r="AB12" s="758"/>
      <c r="AC12" s="758"/>
      <c r="AD12" s="758"/>
      <c r="AE12" s="758"/>
      <c r="AF12" s="758"/>
      <c r="AG12" s="758"/>
      <c r="AH12" s="758"/>
    </row>
    <row r="13" spans="2:34" x14ac:dyDescent="0.25">
      <c r="B13" s="300" t="s">
        <v>216</v>
      </c>
      <c r="C13" s="701">
        <f>+NPV(C12,C10:L10)</f>
        <v>5234177.9271181459</v>
      </c>
      <c r="D13" s="701"/>
      <c r="E13" s="701"/>
      <c r="F13" s="701"/>
      <c r="G13" s="701"/>
      <c r="H13" s="701"/>
      <c r="I13" s="701"/>
      <c r="J13" s="701"/>
      <c r="K13" s="701"/>
      <c r="L13" s="742"/>
      <c r="M13" s="758"/>
      <c r="N13" s="758"/>
      <c r="O13" s="758"/>
      <c r="P13" s="758"/>
      <c r="Q13" s="758"/>
      <c r="R13" s="758"/>
      <c r="S13" s="758"/>
      <c r="T13" s="758"/>
      <c r="U13" s="758"/>
      <c r="V13" s="758"/>
      <c r="W13" s="758"/>
      <c r="X13" s="758"/>
      <c r="Y13" s="758"/>
      <c r="Z13" s="758"/>
      <c r="AA13" s="758"/>
      <c r="AB13" s="758"/>
      <c r="AC13" s="758"/>
      <c r="AD13" s="758"/>
      <c r="AE13" s="758"/>
      <c r="AF13" s="758"/>
      <c r="AG13" s="758"/>
      <c r="AH13" s="758"/>
    </row>
    <row r="14" spans="2:34" ht="16.5" thickBot="1" x14ac:dyDescent="0.3">
      <c r="B14" s="301"/>
      <c r="C14" s="732"/>
      <c r="D14" s="732"/>
      <c r="E14" s="732"/>
      <c r="F14" s="732"/>
      <c r="G14" s="732"/>
      <c r="H14" s="732"/>
      <c r="I14" s="732"/>
      <c r="J14" s="732"/>
      <c r="K14" s="732"/>
      <c r="L14" s="767"/>
      <c r="M14" s="758"/>
      <c r="N14" s="758"/>
      <c r="O14" s="758"/>
      <c r="P14" s="758"/>
      <c r="Q14" s="758"/>
      <c r="R14" s="758"/>
      <c r="S14" s="758"/>
      <c r="T14" s="758"/>
      <c r="U14" s="758"/>
      <c r="V14" s="758"/>
      <c r="W14" s="758"/>
      <c r="X14" s="758"/>
      <c r="Y14" s="758"/>
      <c r="Z14" s="758"/>
      <c r="AA14" s="758"/>
      <c r="AB14" s="758"/>
      <c r="AC14" s="758"/>
      <c r="AD14" s="758"/>
      <c r="AE14" s="758"/>
      <c r="AF14" s="758"/>
      <c r="AG14" s="758"/>
      <c r="AH14" s="758"/>
    </row>
    <row r="15" spans="2:34" x14ac:dyDescent="0.25">
      <c r="C15" s="758"/>
      <c r="D15" s="758"/>
      <c r="E15" s="758"/>
      <c r="F15" s="758"/>
      <c r="G15" s="758"/>
      <c r="H15" s="758"/>
      <c r="I15" s="758"/>
      <c r="J15" s="758"/>
      <c r="K15" s="758"/>
      <c r="L15" s="758"/>
      <c r="M15" s="758"/>
      <c r="N15" s="758"/>
      <c r="O15" s="758"/>
      <c r="P15" s="758"/>
      <c r="Q15" s="758"/>
      <c r="R15" s="758"/>
      <c r="S15" s="758"/>
      <c r="T15" s="758"/>
      <c r="U15" s="758"/>
      <c r="V15" s="758"/>
      <c r="W15" s="758"/>
      <c r="X15" s="758"/>
      <c r="Y15" s="758"/>
      <c r="Z15" s="758"/>
      <c r="AA15" s="758"/>
      <c r="AB15" s="758"/>
      <c r="AC15" s="758"/>
      <c r="AD15" s="758"/>
      <c r="AE15" s="758"/>
      <c r="AF15" s="758"/>
      <c r="AG15" s="758"/>
      <c r="AH15" s="758"/>
    </row>
    <row r="16" spans="2:34" ht="16.5" thickBot="1" x14ac:dyDescent="0.3">
      <c r="B16" s="288" t="s">
        <v>232</v>
      </c>
      <c r="C16" s="758"/>
      <c r="D16" s="758"/>
      <c r="E16" s="758"/>
      <c r="F16" s="758"/>
      <c r="G16" s="758"/>
      <c r="H16" s="758"/>
      <c r="I16" s="758"/>
      <c r="J16" s="758"/>
      <c r="K16" s="758"/>
      <c r="L16" s="758"/>
      <c r="M16" s="758"/>
      <c r="N16" s="758"/>
      <c r="O16" s="758"/>
      <c r="P16" s="758"/>
      <c r="Q16" s="758"/>
      <c r="R16" s="758"/>
      <c r="S16" s="758"/>
      <c r="T16" s="758"/>
      <c r="U16" s="758"/>
      <c r="V16" s="758"/>
      <c r="W16" s="758"/>
      <c r="X16" s="758"/>
      <c r="Y16" s="758"/>
      <c r="Z16" s="758"/>
      <c r="AA16" s="758"/>
      <c r="AB16" s="758"/>
      <c r="AC16" s="758"/>
      <c r="AD16" s="758"/>
      <c r="AE16" s="758"/>
      <c r="AF16" s="758"/>
      <c r="AG16" s="758"/>
      <c r="AH16" s="758"/>
    </row>
    <row r="17" spans="2:34" x14ac:dyDescent="0.25">
      <c r="B17" s="726"/>
      <c r="C17" s="1363">
        <v>2006</v>
      </c>
      <c r="D17" s="1363">
        <f>+C17+1</f>
        <v>2007</v>
      </c>
      <c r="E17" s="1363">
        <f t="shared" ref="E17:L17" si="4">+D17+1</f>
        <v>2008</v>
      </c>
      <c r="F17" s="1363">
        <f t="shared" si="4"/>
        <v>2009</v>
      </c>
      <c r="G17" s="1364">
        <f t="shared" si="4"/>
        <v>2010</v>
      </c>
      <c r="H17" s="1363">
        <f t="shared" si="4"/>
        <v>2011</v>
      </c>
      <c r="I17" s="1363">
        <f t="shared" si="4"/>
        <v>2012</v>
      </c>
      <c r="J17" s="1363">
        <f t="shared" si="4"/>
        <v>2013</v>
      </c>
      <c r="K17" s="1363">
        <f t="shared" si="4"/>
        <v>2014</v>
      </c>
      <c r="L17" s="1364">
        <f t="shared" si="4"/>
        <v>2015</v>
      </c>
      <c r="M17" s="758"/>
      <c r="N17" s="758"/>
      <c r="O17" s="726"/>
      <c r="P17" s="1363">
        <v>2006</v>
      </c>
      <c r="Q17" s="1363">
        <f>+P17+1</f>
        <v>2007</v>
      </c>
      <c r="R17" s="1363">
        <f>+Q17+1</f>
        <v>2008</v>
      </c>
      <c r="S17" s="1363">
        <f>+R17+1</f>
        <v>2009</v>
      </c>
      <c r="T17" s="1364">
        <f>+S17+1</f>
        <v>2010</v>
      </c>
      <c r="U17" s="758"/>
      <c r="V17" s="758"/>
      <c r="W17" s="758"/>
      <c r="X17" s="758"/>
      <c r="Y17" s="758"/>
      <c r="Z17" s="758"/>
      <c r="AA17" s="758"/>
      <c r="AB17" s="758"/>
      <c r="AC17" s="758"/>
      <c r="AD17" s="758"/>
      <c r="AE17" s="758"/>
      <c r="AF17" s="758"/>
      <c r="AG17" s="758"/>
      <c r="AH17" s="758"/>
    </row>
    <row r="18" spans="2:34" x14ac:dyDescent="0.25">
      <c r="B18" s="300" t="s">
        <v>211</v>
      </c>
      <c r="C18" s="553"/>
      <c r="D18" s="553">
        <v>0.02</v>
      </c>
      <c r="E18" s="553">
        <v>0.02</v>
      </c>
      <c r="F18" s="553">
        <v>0.02</v>
      </c>
      <c r="G18" s="551">
        <v>0.02</v>
      </c>
      <c r="H18" s="553">
        <v>0.02</v>
      </c>
      <c r="I18" s="553">
        <v>0.02</v>
      </c>
      <c r="J18" s="553">
        <v>0.02</v>
      </c>
      <c r="K18" s="553">
        <v>0.02</v>
      </c>
      <c r="L18" s="551">
        <v>0.02</v>
      </c>
      <c r="M18" s="758"/>
      <c r="N18" s="758"/>
      <c r="O18" s="749" t="s">
        <v>217</v>
      </c>
      <c r="P18" s="1368">
        <v>0</v>
      </c>
      <c r="Q18" s="708">
        <v>323850</v>
      </c>
      <c r="R18" s="708">
        <v>342560</v>
      </c>
      <c r="S18" s="708">
        <v>301522</v>
      </c>
      <c r="T18" s="1369"/>
      <c r="U18" s="758"/>
      <c r="V18" s="758"/>
      <c r="W18" s="758"/>
      <c r="X18" s="758"/>
      <c r="Y18" s="758"/>
      <c r="Z18" s="758"/>
      <c r="AA18" s="758"/>
      <c r="AB18" s="758"/>
      <c r="AC18" s="758"/>
      <c r="AD18" s="758"/>
      <c r="AE18" s="758"/>
      <c r="AF18" s="758"/>
      <c r="AG18" s="758"/>
      <c r="AH18" s="758"/>
    </row>
    <row r="19" spans="2:34" x14ac:dyDescent="0.25">
      <c r="B19" s="300"/>
      <c r="C19" s="553"/>
      <c r="D19" s="553"/>
      <c r="E19" s="553"/>
      <c r="F19" s="553"/>
      <c r="G19" s="551"/>
      <c r="H19" s="553"/>
      <c r="I19" s="553"/>
      <c r="J19" s="553"/>
      <c r="K19" s="553"/>
      <c r="L19" s="551"/>
      <c r="M19" s="758"/>
      <c r="N19" s="758"/>
      <c r="O19" s="749" t="s">
        <v>218</v>
      </c>
      <c r="P19" s="708"/>
      <c r="Q19" s="708">
        <v>12000</v>
      </c>
      <c r="R19" s="708">
        <v>12000</v>
      </c>
      <c r="S19" s="708">
        <v>12000</v>
      </c>
      <c r="T19" s="750">
        <v>12000</v>
      </c>
      <c r="U19" s="758"/>
      <c r="V19" s="758"/>
      <c r="W19" s="758"/>
      <c r="X19" s="758"/>
      <c r="Y19" s="758"/>
      <c r="Z19" s="758"/>
      <c r="AA19" s="758"/>
      <c r="AB19" s="758"/>
      <c r="AC19" s="758"/>
      <c r="AD19" s="758"/>
      <c r="AE19" s="758"/>
      <c r="AF19" s="758"/>
      <c r="AG19" s="758"/>
      <c r="AH19" s="758"/>
    </row>
    <row r="20" spans="2:34" ht="16.5" thickBot="1" x14ac:dyDescent="0.3">
      <c r="B20" s="300" t="s">
        <v>212</v>
      </c>
      <c r="C20" s="701">
        <f>45000*12</f>
        <v>540000</v>
      </c>
      <c r="D20" s="701">
        <f t="shared" ref="D20:L20" si="5">+C20*(1+D18)</f>
        <v>550800</v>
      </c>
      <c r="E20" s="701">
        <f t="shared" si="5"/>
        <v>561816</v>
      </c>
      <c r="F20" s="701">
        <f t="shared" si="5"/>
        <v>573052.32000000007</v>
      </c>
      <c r="G20" s="742">
        <f t="shared" si="5"/>
        <v>584513.36640000006</v>
      </c>
      <c r="H20" s="701">
        <f t="shared" si="5"/>
        <v>596203.6337280001</v>
      </c>
      <c r="I20" s="701">
        <f t="shared" si="5"/>
        <v>608127.70640256011</v>
      </c>
      <c r="J20" s="701">
        <f t="shared" si="5"/>
        <v>620290.26053061138</v>
      </c>
      <c r="K20" s="701">
        <f t="shared" si="5"/>
        <v>632696.06574122363</v>
      </c>
      <c r="L20" s="742">
        <f t="shared" si="5"/>
        <v>645349.98705604812</v>
      </c>
      <c r="M20" s="758"/>
      <c r="N20" s="758"/>
      <c r="O20" s="1121" t="s">
        <v>219</v>
      </c>
      <c r="P20" s="1370">
        <v>18000</v>
      </c>
      <c r="Q20" s="1370">
        <v>36000</v>
      </c>
      <c r="R20" s="1370">
        <v>18000</v>
      </c>
      <c r="S20" s="1370">
        <v>18000</v>
      </c>
      <c r="T20" s="1371">
        <v>18000</v>
      </c>
      <c r="U20" s="758"/>
      <c r="V20" s="758"/>
      <c r="W20" s="758"/>
      <c r="X20" s="758"/>
      <c r="Y20" s="758"/>
      <c r="Z20" s="758"/>
      <c r="AA20" s="758"/>
      <c r="AB20" s="758"/>
      <c r="AC20" s="758"/>
      <c r="AD20" s="758"/>
      <c r="AE20" s="758"/>
      <c r="AF20" s="758"/>
      <c r="AG20" s="758"/>
      <c r="AH20" s="758"/>
    </row>
    <row r="21" spans="2:34" x14ac:dyDescent="0.25">
      <c r="B21" s="300" t="s">
        <v>213</v>
      </c>
      <c r="C21" s="701">
        <f>7000*12</f>
        <v>84000</v>
      </c>
      <c r="D21" s="701">
        <f>+C21*(1+D18)</f>
        <v>85680</v>
      </c>
      <c r="E21" s="701">
        <f t="shared" ref="E21:L21" si="6">+D21*(1+E18)</f>
        <v>87393.600000000006</v>
      </c>
      <c r="F21" s="701">
        <f t="shared" si="6"/>
        <v>89141.472000000009</v>
      </c>
      <c r="G21" s="742">
        <f t="shared" si="6"/>
        <v>90924.30144000001</v>
      </c>
      <c r="H21" s="701">
        <f t="shared" si="6"/>
        <v>92742.787468800016</v>
      </c>
      <c r="I21" s="701">
        <f t="shared" si="6"/>
        <v>94597.643218176017</v>
      </c>
      <c r="J21" s="701">
        <f t="shared" si="6"/>
        <v>96489.596082539545</v>
      </c>
      <c r="K21" s="701">
        <f t="shared" si="6"/>
        <v>98419.388004190332</v>
      </c>
      <c r="L21" s="742">
        <f t="shared" si="6"/>
        <v>100387.77576427413</v>
      </c>
      <c r="M21" s="758"/>
      <c r="N21" s="758"/>
      <c r="O21" s="758"/>
      <c r="P21" s="758"/>
      <c r="Q21" s="758"/>
      <c r="R21" s="758"/>
      <c r="S21" s="758"/>
      <c r="T21" s="758"/>
      <c r="U21" s="758"/>
      <c r="V21" s="758"/>
      <c r="W21" s="758"/>
      <c r="X21" s="758"/>
      <c r="Y21" s="758"/>
      <c r="Z21" s="758"/>
      <c r="AA21" s="758"/>
      <c r="AB21" s="758"/>
      <c r="AC21" s="758"/>
      <c r="AD21" s="758"/>
      <c r="AE21" s="758"/>
      <c r="AF21" s="758"/>
      <c r="AG21" s="758"/>
      <c r="AH21" s="758"/>
    </row>
    <row r="22" spans="2:34" x14ac:dyDescent="0.25">
      <c r="B22" s="1365" t="s">
        <v>220</v>
      </c>
      <c r="C22" s="1366">
        <f t="shared" ref="C22:L22" si="7">SUM(C20:C21)</f>
        <v>624000</v>
      </c>
      <c r="D22" s="1366">
        <f t="shared" si="7"/>
        <v>636480</v>
      </c>
      <c r="E22" s="1366">
        <f t="shared" si="7"/>
        <v>649209.59999999998</v>
      </c>
      <c r="F22" s="1366">
        <f t="shared" si="7"/>
        <v>662193.79200000013</v>
      </c>
      <c r="G22" s="1367">
        <f t="shared" si="7"/>
        <v>675437.66784000001</v>
      </c>
      <c r="H22" s="1366">
        <f t="shared" si="7"/>
        <v>688946.42119680007</v>
      </c>
      <c r="I22" s="1366">
        <f t="shared" si="7"/>
        <v>702725.34962073609</v>
      </c>
      <c r="J22" s="1366">
        <f t="shared" si="7"/>
        <v>716779.85661315091</v>
      </c>
      <c r="K22" s="1366">
        <f t="shared" si="7"/>
        <v>731115.45374541392</v>
      </c>
      <c r="L22" s="1367">
        <f t="shared" si="7"/>
        <v>745737.7628203223</v>
      </c>
      <c r="M22" s="758"/>
      <c r="N22" s="758"/>
      <c r="O22" s="758"/>
      <c r="P22" s="758"/>
      <c r="Q22" s="758"/>
      <c r="R22" s="758"/>
      <c r="S22" s="758"/>
      <c r="T22" s="758"/>
      <c r="U22" s="758"/>
      <c r="V22" s="758"/>
      <c r="W22" s="758"/>
      <c r="X22" s="758"/>
      <c r="Y22" s="758"/>
      <c r="Z22" s="758"/>
      <c r="AA22" s="758"/>
      <c r="AB22" s="758"/>
      <c r="AC22" s="758"/>
      <c r="AD22" s="758"/>
      <c r="AE22" s="758"/>
      <c r="AF22" s="758"/>
      <c r="AG22" s="758"/>
      <c r="AH22" s="758"/>
    </row>
    <row r="23" spans="2:34" x14ac:dyDescent="0.25">
      <c r="B23" s="1372"/>
      <c r="C23" s="1368"/>
      <c r="D23" s="1368"/>
      <c r="E23" s="1368"/>
      <c r="F23" s="1368"/>
      <c r="G23" s="1369"/>
      <c r="H23" s="1368"/>
      <c r="I23" s="1368"/>
      <c r="J23" s="1368"/>
      <c r="K23" s="1368"/>
      <c r="L23" s="1369"/>
      <c r="M23" s="758"/>
      <c r="N23" s="758"/>
      <c r="O23" s="758"/>
      <c r="P23" s="758"/>
      <c r="Q23" s="758"/>
      <c r="R23" s="758"/>
      <c r="S23" s="758"/>
      <c r="T23" s="758"/>
      <c r="U23" s="758"/>
      <c r="V23" s="758"/>
      <c r="W23" s="758"/>
      <c r="X23" s="758"/>
      <c r="Y23" s="758"/>
      <c r="Z23" s="758"/>
      <c r="AA23" s="758"/>
      <c r="AB23" s="758"/>
      <c r="AC23" s="758"/>
      <c r="AD23" s="758"/>
      <c r="AE23" s="758"/>
      <c r="AF23" s="758"/>
      <c r="AG23" s="758"/>
      <c r="AH23" s="758"/>
    </row>
    <row r="24" spans="2:34" x14ac:dyDescent="0.25">
      <c r="B24" s="749" t="s">
        <v>217</v>
      </c>
      <c r="C24" s="1368">
        <v>0</v>
      </c>
      <c r="D24" s="708">
        <v>323850</v>
      </c>
      <c r="E24" s="708">
        <v>342560</v>
      </c>
      <c r="F24" s="708">
        <v>301522</v>
      </c>
      <c r="G24" s="1369"/>
      <c r="H24" s="1368"/>
      <c r="I24" s="1368"/>
      <c r="J24" s="1368"/>
      <c r="K24" s="1368"/>
      <c r="L24" s="1369"/>
      <c r="M24" s="758"/>
      <c r="N24" s="758"/>
      <c r="O24" s="758"/>
      <c r="P24" s="758"/>
      <c r="Q24" s="758"/>
      <c r="R24" s="758"/>
      <c r="S24" s="758"/>
      <c r="T24" s="758"/>
      <c r="U24" s="758"/>
      <c r="V24" s="758"/>
      <c r="W24" s="758"/>
      <c r="X24" s="758"/>
      <c r="Y24" s="758"/>
      <c r="Z24" s="758"/>
      <c r="AA24" s="758"/>
      <c r="AB24" s="758"/>
      <c r="AC24" s="758"/>
      <c r="AD24" s="758"/>
      <c r="AE24" s="758"/>
      <c r="AF24" s="758"/>
      <c r="AG24" s="758"/>
      <c r="AH24" s="758"/>
    </row>
    <row r="25" spans="2:34" x14ac:dyDescent="0.25">
      <c r="B25" s="927" t="s">
        <v>221</v>
      </c>
      <c r="C25" s="1373">
        <f>+C22-C24</f>
        <v>624000</v>
      </c>
      <c r="D25" s="1373">
        <f>+D22-D24</f>
        <v>312630</v>
      </c>
      <c r="E25" s="1373">
        <f>+E22-E24</f>
        <v>306649.59999999998</v>
      </c>
      <c r="F25" s="1373">
        <f>+F22-F24</f>
        <v>360671.79200000013</v>
      </c>
      <c r="G25" s="1373"/>
      <c r="H25" s="1374"/>
      <c r="I25" s="1374"/>
      <c r="J25" s="1374"/>
      <c r="K25" s="1374"/>
      <c r="L25" s="1375"/>
      <c r="M25" s="758"/>
      <c r="N25" s="758"/>
      <c r="O25" s="758"/>
      <c r="P25" s="758"/>
      <c r="Q25" s="758"/>
      <c r="R25" s="758"/>
      <c r="S25" s="758"/>
      <c r="T25" s="758"/>
      <c r="U25" s="758"/>
      <c r="V25" s="758"/>
      <c r="W25" s="758"/>
      <c r="X25" s="758"/>
      <c r="Y25" s="758"/>
      <c r="Z25" s="758"/>
      <c r="AA25" s="758"/>
      <c r="AB25" s="758"/>
      <c r="AC25" s="758"/>
      <c r="AD25" s="758"/>
      <c r="AE25" s="758"/>
      <c r="AF25" s="758"/>
      <c r="AG25" s="758"/>
      <c r="AH25" s="758"/>
    </row>
    <row r="26" spans="2:34" x14ac:dyDescent="0.25">
      <c r="B26" s="749" t="s">
        <v>218</v>
      </c>
      <c r="C26" s="708"/>
      <c r="D26" s="708">
        <v>12000</v>
      </c>
      <c r="E26" s="708">
        <v>12000</v>
      </c>
      <c r="F26" s="708">
        <v>12000</v>
      </c>
      <c r="G26" s="750"/>
      <c r="H26" s="708"/>
      <c r="I26" s="708"/>
      <c r="J26" s="708"/>
      <c r="K26" s="708"/>
      <c r="L26" s="750"/>
      <c r="M26" s="758"/>
      <c r="N26" s="758"/>
      <c r="O26" s="758"/>
      <c r="P26" s="758"/>
      <c r="Q26" s="758"/>
      <c r="R26" s="758"/>
      <c r="S26" s="758"/>
      <c r="T26" s="758"/>
      <c r="U26" s="758"/>
      <c r="V26" s="758"/>
      <c r="W26" s="758"/>
      <c r="X26" s="758"/>
      <c r="Y26" s="758"/>
      <c r="Z26" s="758"/>
      <c r="AA26" s="758"/>
      <c r="AB26" s="758"/>
      <c r="AC26" s="758"/>
      <c r="AD26" s="758"/>
      <c r="AE26" s="758"/>
      <c r="AF26" s="758"/>
      <c r="AG26" s="758"/>
      <c r="AH26" s="758"/>
    </row>
    <row r="27" spans="2:34" x14ac:dyDescent="0.25">
      <c r="B27" s="749" t="s">
        <v>219</v>
      </c>
      <c r="C27" s="708">
        <v>18000</v>
      </c>
      <c r="D27" s="708">
        <v>36000</v>
      </c>
      <c r="E27" s="708">
        <v>18000</v>
      </c>
      <c r="F27" s="708">
        <v>18000</v>
      </c>
      <c r="G27" s="750"/>
      <c r="H27" s="708"/>
      <c r="I27" s="708"/>
      <c r="J27" s="708"/>
      <c r="K27" s="1368"/>
      <c r="L27" s="1369"/>
      <c r="M27" s="758"/>
      <c r="N27" s="758"/>
      <c r="O27" s="758"/>
      <c r="P27" s="758"/>
      <c r="Q27" s="758"/>
      <c r="R27" s="758"/>
      <c r="S27" s="758"/>
      <c r="T27" s="758"/>
      <c r="U27" s="758"/>
      <c r="V27" s="758"/>
      <c r="W27" s="758"/>
      <c r="X27" s="758"/>
      <c r="Y27" s="758"/>
      <c r="Z27" s="758"/>
      <c r="AA27" s="758"/>
      <c r="AB27" s="758"/>
      <c r="AC27" s="758"/>
      <c r="AD27" s="758"/>
      <c r="AE27" s="758"/>
      <c r="AF27" s="758"/>
      <c r="AG27" s="758"/>
      <c r="AH27" s="758"/>
    </row>
    <row r="28" spans="2:34" ht="16.5" thickBot="1" x14ac:dyDescent="0.3">
      <c r="B28" s="935" t="s">
        <v>222</v>
      </c>
      <c r="C28" s="1254">
        <f>+C25+C26+C27</f>
        <v>642000</v>
      </c>
      <c r="D28" s="1254">
        <f>+D25+D26+D27</f>
        <v>360630</v>
      </c>
      <c r="E28" s="1254">
        <f>+E25+E26+E27</f>
        <v>336649.6</v>
      </c>
      <c r="F28" s="1254">
        <f>+F25+F26+F27</f>
        <v>390671.79200000013</v>
      </c>
      <c r="G28" s="1376"/>
      <c r="H28" s="1254"/>
      <c r="I28" s="1254"/>
      <c r="J28" s="1254"/>
      <c r="K28" s="1254"/>
      <c r="L28" s="1376"/>
      <c r="M28" s="758"/>
      <c r="N28" s="758"/>
      <c r="O28" s="758"/>
      <c r="P28" s="758"/>
      <c r="Q28" s="758"/>
      <c r="R28" s="758"/>
      <c r="S28" s="758"/>
      <c r="T28" s="758"/>
      <c r="U28" s="758"/>
      <c r="V28" s="758"/>
      <c r="W28" s="758"/>
      <c r="X28" s="758"/>
      <c r="Y28" s="758"/>
      <c r="Z28" s="758"/>
      <c r="AA28" s="758"/>
      <c r="AB28" s="758"/>
      <c r="AC28" s="758"/>
      <c r="AD28" s="758"/>
      <c r="AE28" s="758"/>
      <c r="AF28" s="758"/>
      <c r="AG28" s="758"/>
      <c r="AH28" s="758"/>
    </row>
    <row r="29" spans="2:34" ht="16.5" thickBot="1" x14ac:dyDescent="0.3">
      <c r="B29" s="301"/>
      <c r="C29" s="732"/>
      <c r="D29" s="732"/>
      <c r="E29" s="732"/>
      <c r="F29" s="732"/>
      <c r="G29" s="732"/>
      <c r="H29" s="732"/>
      <c r="I29" s="732"/>
      <c r="J29" s="732"/>
      <c r="K29" s="732"/>
      <c r="L29" s="732"/>
      <c r="M29" s="758"/>
      <c r="N29" s="758"/>
      <c r="O29" s="758"/>
      <c r="P29" s="758"/>
      <c r="Q29" s="758"/>
      <c r="R29" s="758"/>
      <c r="S29" s="758"/>
      <c r="T29" s="758"/>
      <c r="U29" s="758"/>
      <c r="V29" s="758"/>
      <c r="W29" s="758"/>
      <c r="X29" s="758"/>
      <c r="Y29" s="758"/>
      <c r="Z29" s="758"/>
      <c r="AA29" s="758"/>
      <c r="AB29" s="758"/>
      <c r="AC29" s="758"/>
      <c r="AD29" s="758"/>
      <c r="AE29" s="758"/>
      <c r="AF29" s="758"/>
      <c r="AG29" s="758"/>
      <c r="AH29" s="758"/>
    </row>
    <row r="30" spans="2:34" x14ac:dyDescent="0.25">
      <c r="C30" s="758"/>
      <c r="D30" s="758"/>
      <c r="E30" s="758"/>
      <c r="F30" s="758"/>
      <c r="G30" s="758"/>
      <c r="H30" s="758"/>
      <c r="I30" s="758"/>
      <c r="J30" s="758"/>
      <c r="K30" s="758"/>
      <c r="L30" s="758"/>
      <c r="M30" s="758"/>
      <c r="N30" s="758"/>
      <c r="O30" s="758"/>
      <c r="P30" s="758"/>
      <c r="Q30" s="758"/>
      <c r="R30" s="758"/>
      <c r="S30" s="758"/>
      <c r="T30" s="758"/>
      <c r="U30" s="758"/>
      <c r="V30" s="758"/>
      <c r="W30" s="758"/>
      <c r="X30" s="758"/>
      <c r="Y30" s="758"/>
      <c r="Z30" s="758"/>
      <c r="AA30" s="758"/>
      <c r="AB30" s="758"/>
      <c r="AC30" s="758"/>
      <c r="AD30" s="758"/>
      <c r="AE30" s="758"/>
      <c r="AF30" s="758"/>
      <c r="AG30" s="758"/>
      <c r="AH30" s="758"/>
    </row>
    <row r="31" spans="2:34" ht="16.5" thickBot="1" x14ac:dyDescent="0.3">
      <c r="B31" s="288" t="s">
        <v>233</v>
      </c>
      <c r="C31" s="758"/>
      <c r="D31" s="758"/>
      <c r="E31" s="758"/>
      <c r="F31" s="758"/>
      <c r="G31" s="758"/>
      <c r="H31" s="758"/>
      <c r="I31" s="758"/>
      <c r="J31" s="758"/>
      <c r="K31" s="758"/>
      <c r="L31" s="758"/>
      <c r="M31" s="758"/>
      <c r="N31" s="758"/>
      <c r="O31" s="758"/>
      <c r="P31" s="758"/>
      <c r="Q31" s="758"/>
      <c r="R31" s="758"/>
      <c r="S31" s="758"/>
      <c r="T31" s="758"/>
      <c r="U31" s="758"/>
      <c r="V31" s="758"/>
      <c r="W31" s="758"/>
      <c r="X31" s="758"/>
      <c r="Y31" s="758"/>
      <c r="Z31" s="758"/>
      <c r="AA31" s="758"/>
      <c r="AB31" s="758"/>
      <c r="AC31" s="758"/>
      <c r="AD31" s="758"/>
      <c r="AE31" s="758"/>
      <c r="AF31" s="758"/>
      <c r="AG31" s="758"/>
      <c r="AH31" s="758"/>
    </row>
    <row r="32" spans="2:34" x14ac:dyDescent="0.25">
      <c r="B32" s="726"/>
      <c r="C32" s="1363">
        <v>2006</v>
      </c>
      <c r="D32" s="1363">
        <f>+C32+1</f>
        <v>2007</v>
      </c>
      <c r="E32" s="1363">
        <f t="shared" ref="E32:L32" si="8">+D32+1</f>
        <v>2008</v>
      </c>
      <c r="F32" s="1363">
        <f t="shared" si="8"/>
        <v>2009</v>
      </c>
      <c r="G32" s="1363">
        <f t="shared" si="8"/>
        <v>2010</v>
      </c>
      <c r="H32" s="1363">
        <f t="shared" si="8"/>
        <v>2011</v>
      </c>
      <c r="I32" s="1363">
        <f t="shared" si="8"/>
        <v>2012</v>
      </c>
      <c r="J32" s="1363">
        <f t="shared" si="8"/>
        <v>2013</v>
      </c>
      <c r="K32" s="1363">
        <f t="shared" si="8"/>
        <v>2014</v>
      </c>
      <c r="L32" s="1364">
        <f t="shared" si="8"/>
        <v>2015</v>
      </c>
      <c r="M32" s="758"/>
      <c r="N32" s="758"/>
      <c r="O32" s="758"/>
      <c r="P32" s="758"/>
      <c r="Q32" s="758"/>
      <c r="R32" s="758"/>
      <c r="S32" s="758"/>
      <c r="T32" s="758"/>
      <c r="U32" s="758"/>
      <c r="V32" s="758"/>
      <c r="W32" s="758"/>
      <c r="X32" s="758"/>
      <c r="Y32" s="758"/>
      <c r="Z32" s="758"/>
      <c r="AA32" s="758"/>
      <c r="AB32" s="758"/>
      <c r="AC32" s="758"/>
      <c r="AD32" s="758"/>
      <c r="AE32" s="758"/>
      <c r="AF32" s="758"/>
      <c r="AG32" s="758"/>
      <c r="AH32" s="758"/>
    </row>
    <row r="33" spans="2:34" x14ac:dyDescent="0.25">
      <c r="B33" s="300" t="s">
        <v>211</v>
      </c>
      <c r="C33" s="553"/>
      <c r="D33" s="553">
        <v>0.02</v>
      </c>
      <c r="E33" s="553">
        <v>0.02</v>
      </c>
      <c r="F33" s="553">
        <v>0.02</v>
      </c>
      <c r="G33" s="553">
        <v>0.02</v>
      </c>
      <c r="H33" s="553">
        <v>0.02</v>
      </c>
      <c r="I33" s="553">
        <v>0.02</v>
      </c>
      <c r="J33" s="553">
        <v>0.02</v>
      </c>
      <c r="K33" s="553">
        <v>0.02</v>
      </c>
      <c r="L33" s="551">
        <v>0.02</v>
      </c>
      <c r="M33" s="758"/>
      <c r="N33" s="758"/>
      <c r="O33" s="758"/>
      <c r="P33" s="758"/>
      <c r="Q33" s="758"/>
      <c r="R33" s="758"/>
      <c r="S33" s="758"/>
      <c r="T33" s="758"/>
      <c r="U33" s="758"/>
      <c r="V33" s="758"/>
      <c r="W33" s="758"/>
      <c r="X33" s="758"/>
      <c r="Y33" s="758"/>
      <c r="Z33" s="758"/>
      <c r="AA33" s="758"/>
      <c r="AB33" s="758"/>
      <c r="AC33" s="758"/>
      <c r="AD33" s="758"/>
      <c r="AE33" s="758"/>
      <c r="AF33" s="758"/>
      <c r="AG33" s="758"/>
      <c r="AH33" s="758"/>
    </row>
    <row r="34" spans="2:34" x14ac:dyDescent="0.25">
      <c r="B34" s="300"/>
      <c r="C34" s="553"/>
      <c r="D34" s="553"/>
      <c r="E34" s="553"/>
      <c r="F34" s="553"/>
      <c r="G34" s="553"/>
      <c r="H34" s="553"/>
      <c r="I34" s="553"/>
      <c r="J34" s="553"/>
      <c r="K34" s="553"/>
      <c r="L34" s="551"/>
      <c r="M34" s="758"/>
      <c r="N34" s="758"/>
      <c r="O34" s="758"/>
      <c r="P34" s="758"/>
      <c r="Q34" s="758"/>
      <c r="R34" s="758"/>
      <c r="S34" s="758"/>
      <c r="T34" s="758"/>
      <c r="U34" s="758"/>
      <c r="V34" s="758"/>
      <c r="W34" s="758"/>
      <c r="X34" s="758"/>
      <c r="Y34" s="758"/>
      <c r="Z34" s="758"/>
      <c r="AA34" s="758"/>
      <c r="AB34" s="758"/>
      <c r="AC34" s="758"/>
      <c r="AD34" s="758"/>
      <c r="AE34" s="758"/>
      <c r="AF34" s="758"/>
      <c r="AG34" s="758"/>
      <c r="AH34" s="758"/>
    </row>
    <row r="35" spans="2:34" x14ac:dyDescent="0.25">
      <c r="B35" s="300" t="s">
        <v>212</v>
      </c>
      <c r="C35" s="701">
        <f>45000*12</f>
        <v>540000</v>
      </c>
      <c r="D35" s="701">
        <f t="shared" ref="D35:L35" si="9">+C35*(1+D33)</f>
        <v>550800</v>
      </c>
      <c r="E35" s="701">
        <f t="shared" si="9"/>
        <v>561816</v>
      </c>
      <c r="F35" s="701">
        <f t="shared" si="9"/>
        <v>573052.32000000007</v>
      </c>
      <c r="G35" s="701">
        <f t="shared" si="9"/>
        <v>584513.36640000006</v>
      </c>
      <c r="H35" s="701">
        <f t="shared" si="9"/>
        <v>596203.6337280001</v>
      </c>
      <c r="I35" s="701">
        <f t="shared" si="9"/>
        <v>608127.70640256011</v>
      </c>
      <c r="J35" s="701">
        <f t="shared" si="9"/>
        <v>620290.26053061138</v>
      </c>
      <c r="K35" s="701">
        <f t="shared" si="9"/>
        <v>632696.06574122363</v>
      </c>
      <c r="L35" s="742">
        <f t="shared" si="9"/>
        <v>645349.98705604812</v>
      </c>
      <c r="M35" s="758"/>
      <c r="N35" s="758"/>
      <c r="O35" s="758"/>
      <c r="P35" s="758"/>
      <c r="Q35" s="758"/>
      <c r="R35" s="758"/>
      <c r="S35" s="758"/>
      <c r="T35" s="758"/>
      <c r="U35" s="758"/>
      <c r="V35" s="758"/>
      <c r="W35" s="758"/>
      <c r="X35" s="758"/>
      <c r="Y35" s="758"/>
      <c r="Z35" s="758"/>
      <c r="AA35" s="758"/>
      <c r="AB35" s="758"/>
      <c r="AC35" s="758"/>
      <c r="AD35" s="758"/>
      <c r="AE35" s="758"/>
      <c r="AF35" s="758"/>
      <c r="AG35" s="758"/>
      <c r="AH35" s="758"/>
    </row>
    <row r="36" spans="2:34" x14ac:dyDescent="0.25">
      <c r="B36" s="300" t="s">
        <v>213</v>
      </c>
      <c r="C36" s="701">
        <f>7000*12</f>
        <v>84000</v>
      </c>
      <c r="D36" s="701">
        <f>+C36*(1+D33)</f>
        <v>85680</v>
      </c>
      <c r="E36" s="701">
        <f t="shared" ref="E36:L36" si="10">+D36*(1+E33)</f>
        <v>87393.600000000006</v>
      </c>
      <c r="F36" s="701">
        <f t="shared" si="10"/>
        <v>89141.472000000009</v>
      </c>
      <c r="G36" s="701">
        <f t="shared" si="10"/>
        <v>90924.30144000001</v>
      </c>
      <c r="H36" s="701">
        <f t="shared" si="10"/>
        <v>92742.787468800016</v>
      </c>
      <c r="I36" s="701">
        <f t="shared" si="10"/>
        <v>94597.643218176017</v>
      </c>
      <c r="J36" s="701">
        <f t="shared" si="10"/>
        <v>96489.596082539545</v>
      </c>
      <c r="K36" s="701">
        <f t="shared" si="10"/>
        <v>98419.388004190332</v>
      </c>
      <c r="L36" s="742">
        <f t="shared" si="10"/>
        <v>100387.77576427413</v>
      </c>
      <c r="M36" s="758"/>
      <c r="N36" s="758"/>
      <c r="O36" s="758"/>
      <c r="P36" s="758"/>
      <c r="Q36" s="758"/>
      <c r="R36" s="758"/>
      <c r="S36" s="758"/>
      <c r="T36" s="758"/>
      <c r="U36" s="758"/>
      <c r="V36" s="758"/>
      <c r="W36" s="758"/>
      <c r="X36" s="758"/>
      <c r="Y36" s="758"/>
      <c r="Z36" s="758"/>
      <c r="AA36" s="758"/>
      <c r="AB36" s="758"/>
      <c r="AC36" s="758"/>
      <c r="AD36" s="758"/>
      <c r="AE36" s="758"/>
      <c r="AF36" s="758"/>
      <c r="AG36" s="758"/>
      <c r="AH36" s="758"/>
    </row>
    <row r="37" spans="2:34" x14ac:dyDescent="0.25">
      <c r="B37" s="1365" t="s">
        <v>220</v>
      </c>
      <c r="C37" s="1366">
        <f t="shared" ref="C37:L37" si="11">SUM(C35:C36)</f>
        <v>624000</v>
      </c>
      <c r="D37" s="1366">
        <f t="shared" si="11"/>
        <v>636480</v>
      </c>
      <c r="E37" s="1366">
        <f t="shared" si="11"/>
        <v>649209.59999999998</v>
      </c>
      <c r="F37" s="1366">
        <f t="shared" si="11"/>
        <v>662193.79200000013</v>
      </c>
      <c r="G37" s="1366">
        <f t="shared" si="11"/>
        <v>675437.66784000001</v>
      </c>
      <c r="H37" s="1366">
        <f t="shared" si="11"/>
        <v>688946.42119680007</v>
      </c>
      <c r="I37" s="1366">
        <f t="shared" si="11"/>
        <v>702725.34962073609</v>
      </c>
      <c r="J37" s="1366">
        <f t="shared" si="11"/>
        <v>716779.85661315091</v>
      </c>
      <c r="K37" s="1366">
        <f t="shared" si="11"/>
        <v>731115.45374541392</v>
      </c>
      <c r="L37" s="1367">
        <f t="shared" si="11"/>
        <v>745737.7628203223</v>
      </c>
      <c r="M37" s="758"/>
      <c r="N37" s="758"/>
      <c r="O37" s="758"/>
      <c r="P37" s="758"/>
      <c r="Q37" s="758"/>
      <c r="R37" s="758"/>
      <c r="S37" s="758"/>
      <c r="T37" s="758"/>
      <c r="U37" s="758"/>
      <c r="V37" s="758"/>
      <c r="W37" s="758"/>
      <c r="X37" s="758"/>
      <c r="Y37" s="758"/>
      <c r="Z37" s="758"/>
      <c r="AA37" s="758"/>
      <c r="AB37" s="758"/>
      <c r="AC37" s="758"/>
      <c r="AD37" s="758"/>
      <c r="AE37" s="758"/>
      <c r="AF37" s="758"/>
      <c r="AG37" s="758"/>
      <c r="AH37" s="758"/>
    </row>
    <row r="38" spans="2:34" x14ac:dyDescent="0.25">
      <c r="B38" s="1372"/>
      <c r="C38" s="1368"/>
      <c r="D38" s="1368"/>
      <c r="E38" s="1368"/>
      <c r="F38" s="1368"/>
      <c r="G38" s="1368"/>
      <c r="H38" s="1368"/>
      <c r="I38" s="1368"/>
      <c r="J38" s="1368"/>
      <c r="K38" s="1368"/>
      <c r="L38" s="1369"/>
      <c r="M38" s="758"/>
      <c r="N38" s="758"/>
      <c r="O38" s="758"/>
      <c r="P38" s="758"/>
      <c r="Q38" s="758"/>
      <c r="R38" s="758"/>
      <c r="S38" s="758"/>
      <c r="T38" s="758"/>
      <c r="U38" s="758"/>
      <c r="V38" s="758"/>
      <c r="W38" s="758"/>
      <c r="X38" s="758"/>
      <c r="Y38" s="758"/>
      <c r="Z38" s="758"/>
      <c r="AA38" s="758"/>
      <c r="AB38" s="758"/>
      <c r="AC38" s="758"/>
      <c r="AD38" s="758"/>
      <c r="AE38" s="758"/>
      <c r="AF38" s="758"/>
      <c r="AG38" s="758"/>
      <c r="AH38" s="758"/>
    </row>
    <row r="39" spans="2:34" x14ac:dyDescent="0.25">
      <c r="B39" s="749" t="s">
        <v>217</v>
      </c>
      <c r="C39" s="1368">
        <v>0</v>
      </c>
      <c r="D39" s="708">
        <v>323850</v>
      </c>
      <c r="E39" s="708">
        <v>342560</v>
      </c>
      <c r="F39" s="708">
        <v>301522</v>
      </c>
      <c r="G39" s="1368">
        <f t="shared" ref="G39:L39" si="12">+G37*G40</f>
        <v>351227.58727680001</v>
      </c>
      <c r="H39" s="1368">
        <f t="shared" si="12"/>
        <v>358252.13902233605</v>
      </c>
      <c r="I39" s="1368">
        <f t="shared" si="12"/>
        <v>365417.18180278275</v>
      </c>
      <c r="J39" s="1368">
        <f t="shared" si="12"/>
        <v>372725.52543883846</v>
      </c>
      <c r="K39" s="1368">
        <f t="shared" si="12"/>
        <v>380180.03594761528</v>
      </c>
      <c r="L39" s="1369">
        <f t="shared" si="12"/>
        <v>387783.63666656759</v>
      </c>
      <c r="M39" s="758"/>
      <c r="N39" s="758"/>
      <c r="O39" s="758"/>
      <c r="P39" s="758"/>
      <c r="Q39" s="758"/>
      <c r="R39" s="758"/>
      <c r="S39" s="758"/>
      <c r="T39" s="758"/>
      <c r="U39" s="758"/>
      <c r="V39" s="758"/>
      <c r="W39" s="758"/>
      <c r="X39" s="758"/>
      <c r="Y39" s="758"/>
      <c r="Z39" s="758"/>
      <c r="AA39" s="758"/>
      <c r="AB39" s="758"/>
      <c r="AC39" s="758"/>
      <c r="AD39" s="758"/>
      <c r="AE39" s="758"/>
      <c r="AF39" s="758"/>
      <c r="AG39" s="758"/>
      <c r="AH39" s="758"/>
    </row>
    <row r="40" spans="2:34" x14ac:dyDescent="0.25">
      <c r="B40" s="749"/>
      <c r="C40" s="1368"/>
      <c r="D40" s="1377">
        <f>+D39/D37</f>
        <v>0.50881410256410253</v>
      </c>
      <c r="E40" s="1377">
        <f>+E39/E37</f>
        <v>0.52765701554628897</v>
      </c>
      <c r="F40" s="1377">
        <f>+F39/F37</f>
        <v>0.45533800473925301</v>
      </c>
      <c r="G40" s="1378">
        <v>0.52</v>
      </c>
      <c r="H40" s="1378">
        <v>0.52</v>
      </c>
      <c r="I40" s="1378">
        <v>0.52</v>
      </c>
      <c r="J40" s="1378">
        <v>0.52</v>
      </c>
      <c r="K40" s="1378">
        <v>0.52</v>
      </c>
      <c r="L40" s="1379">
        <v>0.52</v>
      </c>
      <c r="M40" s="758"/>
      <c r="N40" s="758"/>
      <c r="O40" s="758"/>
      <c r="P40" s="758"/>
      <c r="Q40" s="758"/>
      <c r="R40" s="758"/>
      <c r="S40" s="758"/>
      <c r="T40" s="758"/>
      <c r="U40" s="758"/>
      <c r="V40" s="758"/>
      <c r="W40" s="758"/>
      <c r="X40" s="758"/>
      <c r="Y40" s="758"/>
      <c r="Z40" s="758"/>
      <c r="AA40" s="758"/>
      <c r="AB40" s="758"/>
      <c r="AC40" s="758"/>
      <c r="AD40" s="758"/>
      <c r="AE40" s="758"/>
      <c r="AF40" s="758"/>
      <c r="AG40" s="758"/>
      <c r="AH40" s="758"/>
    </row>
    <row r="41" spans="2:34" x14ac:dyDescent="0.25">
      <c r="B41" s="927" t="s">
        <v>221</v>
      </c>
      <c r="C41" s="1373">
        <f t="shared" ref="C41:L41" si="13">+C37-C39</f>
        <v>624000</v>
      </c>
      <c r="D41" s="1373">
        <f t="shared" si="13"/>
        <v>312630</v>
      </c>
      <c r="E41" s="1373">
        <f t="shared" si="13"/>
        <v>306649.59999999998</v>
      </c>
      <c r="F41" s="1373">
        <f t="shared" si="13"/>
        <v>360671.79200000013</v>
      </c>
      <c r="G41" s="1373">
        <f t="shared" si="13"/>
        <v>324210.0805632</v>
      </c>
      <c r="H41" s="1373">
        <f t="shared" si="13"/>
        <v>330694.28217446402</v>
      </c>
      <c r="I41" s="1373">
        <f t="shared" si="13"/>
        <v>337308.16781795333</v>
      </c>
      <c r="J41" s="1373">
        <f t="shared" si="13"/>
        <v>344054.33117431245</v>
      </c>
      <c r="K41" s="1373">
        <f t="shared" si="13"/>
        <v>350935.41779779864</v>
      </c>
      <c r="L41" s="1380">
        <f t="shared" si="13"/>
        <v>357954.12615375471</v>
      </c>
      <c r="M41" s="758"/>
      <c r="N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</row>
    <row r="42" spans="2:34" x14ac:dyDescent="0.25">
      <c r="B42" s="749" t="s">
        <v>218</v>
      </c>
      <c r="C42" s="708"/>
      <c r="D42" s="708">
        <v>12000</v>
      </c>
      <c r="E42" s="708">
        <v>12000</v>
      </c>
      <c r="F42" s="708">
        <v>12000</v>
      </c>
      <c r="G42" s="708">
        <v>12000</v>
      </c>
      <c r="H42" s="708">
        <v>12000</v>
      </c>
      <c r="I42" s="708">
        <v>12000</v>
      </c>
      <c r="J42" s="708">
        <v>12000</v>
      </c>
      <c r="K42" s="708">
        <v>12000</v>
      </c>
      <c r="L42" s="750">
        <v>12000</v>
      </c>
      <c r="M42" s="758"/>
      <c r="N42" s="758"/>
      <c r="U42" s="758"/>
      <c r="V42" s="758"/>
      <c r="W42" s="758"/>
      <c r="X42" s="758"/>
      <c r="Y42" s="758"/>
      <c r="Z42" s="758"/>
      <c r="AA42" s="758"/>
      <c r="AB42" s="758"/>
      <c r="AC42" s="758"/>
      <c r="AD42" s="758"/>
      <c r="AE42" s="758"/>
      <c r="AF42" s="758"/>
      <c r="AG42" s="758"/>
      <c r="AH42" s="758"/>
    </row>
    <row r="43" spans="2:34" x14ac:dyDescent="0.25">
      <c r="B43" s="749" t="s">
        <v>219</v>
      </c>
      <c r="C43" s="708">
        <v>18000</v>
      </c>
      <c r="D43" s="708">
        <v>36000</v>
      </c>
      <c r="E43" s="708">
        <v>18000</v>
      </c>
      <c r="F43" s="708">
        <v>18000</v>
      </c>
      <c r="G43" s="708">
        <v>18000</v>
      </c>
      <c r="H43" s="708">
        <v>18000</v>
      </c>
      <c r="I43" s="708">
        <v>18000</v>
      </c>
      <c r="J43" s="708">
        <v>18000</v>
      </c>
      <c r="K43" s="708">
        <v>18000</v>
      </c>
      <c r="L43" s="750">
        <v>18000</v>
      </c>
      <c r="M43" s="758"/>
      <c r="N43" s="758"/>
      <c r="U43" s="758"/>
      <c r="V43" s="758"/>
      <c r="W43" s="758"/>
      <c r="X43" s="758"/>
      <c r="Y43" s="758"/>
      <c r="Z43" s="758"/>
      <c r="AA43" s="758"/>
      <c r="AB43" s="758"/>
      <c r="AC43" s="758"/>
      <c r="AD43" s="758"/>
      <c r="AE43" s="758"/>
      <c r="AF43" s="758"/>
      <c r="AG43" s="758"/>
      <c r="AH43" s="758"/>
    </row>
    <row r="44" spans="2:34" x14ac:dyDescent="0.25">
      <c r="B44" s="927" t="s">
        <v>222</v>
      </c>
      <c r="C44" s="1373">
        <f t="shared" ref="C44:L44" si="14">+C41+C42+C43</f>
        <v>642000</v>
      </c>
      <c r="D44" s="1373">
        <f t="shared" si="14"/>
        <v>360630</v>
      </c>
      <c r="E44" s="1373">
        <f t="shared" si="14"/>
        <v>336649.6</v>
      </c>
      <c r="F44" s="1373">
        <f t="shared" si="14"/>
        <v>390671.79200000013</v>
      </c>
      <c r="G44" s="1373">
        <f t="shared" si="14"/>
        <v>354210.0805632</v>
      </c>
      <c r="H44" s="1373">
        <f t="shared" si="14"/>
        <v>360694.28217446402</v>
      </c>
      <c r="I44" s="1373">
        <f t="shared" si="14"/>
        <v>367308.16781795333</v>
      </c>
      <c r="J44" s="1373">
        <f t="shared" si="14"/>
        <v>374054.33117431245</v>
      </c>
      <c r="K44" s="1373">
        <f t="shared" si="14"/>
        <v>380935.41779779864</v>
      </c>
      <c r="L44" s="1380">
        <f t="shared" si="14"/>
        <v>387954.12615375471</v>
      </c>
      <c r="M44" s="758"/>
      <c r="N44" s="758"/>
      <c r="U44" s="758"/>
      <c r="V44" s="758"/>
      <c r="W44" s="758"/>
      <c r="X44" s="758"/>
      <c r="Y44" s="758"/>
      <c r="Z44" s="758"/>
      <c r="AA44" s="758"/>
      <c r="AB44" s="758"/>
      <c r="AC44" s="758"/>
      <c r="AD44" s="758"/>
      <c r="AE44" s="758"/>
      <c r="AF44" s="758"/>
      <c r="AG44" s="758"/>
      <c r="AH44" s="758"/>
    </row>
    <row r="45" spans="2:34" x14ac:dyDescent="0.25">
      <c r="B45" s="300"/>
      <c r="C45" s="701"/>
      <c r="D45" s="701"/>
      <c r="E45" s="701"/>
      <c r="F45" s="701"/>
      <c r="G45" s="701"/>
      <c r="H45" s="701"/>
      <c r="I45" s="701"/>
      <c r="J45" s="701"/>
      <c r="K45" s="701"/>
      <c r="L45" s="742"/>
      <c r="M45" s="758"/>
      <c r="N45" s="758"/>
      <c r="U45" s="758"/>
      <c r="V45" s="758"/>
      <c r="W45" s="758"/>
      <c r="X45" s="758"/>
      <c r="Y45" s="758"/>
      <c r="Z45" s="758"/>
      <c r="AA45" s="758"/>
      <c r="AB45" s="758"/>
      <c r="AC45" s="758"/>
      <c r="AD45" s="758"/>
      <c r="AE45" s="758"/>
      <c r="AF45" s="758"/>
      <c r="AG45" s="758"/>
      <c r="AH45" s="758"/>
    </row>
    <row r="46" spans="2:34" x14ac:dyDescent="0.25">
      <c r="B46" s="300" t="s">
        <v>831</v>
      </c>
      <c r="C46" s="702">
        <v>0.05</v>
      </c>
      <c r="D46" s="701"/>
      <c r="E46" s="701"/>
      <c r="F46" s="701"/>
      <c r="G46" s="701"/>
      <c r="H46" s="701"/>
      <c r="I46" s="701"/>
      <c r="J46" s="701"/>
      <c r="K46" s="701"/>
      <c r="L46" s="742"/>
      <c r="M46" s="758"/>
      <c r="N46" s="758"/>
      <c r="U46" s="758"/>
      <c r="V46" s="758"/>
      <c r="W46" s="758"/>
      <c r="X46" s="758"/>
      <c r="Y46" s="758"/>
      <c r="Z46" s="758"/>
      <c r="AA46" s="758"/>
      <c r="AB46" s="758"/>
      <c r="AC46" s="758"/>
      <c r="AD46" s="758"/>
      <c r="AE46" s="758"/>
      <c r="AF46" s="758"/>
      <c r="AG46" s="758"/>
      <c r="AH46" s="758"/>
    </row>
    <row r="47" spans="2:34" x14ac:dyDescent="0.25">
      <c r="B47" s="1381" t="s">
        <v>216</v>
      </c>
      <c r="C47" s="1382">
        <f>+NPV(C46,C44:L44)</f>
        <v>3095374.6365266447</v>
      </c>
      <c r="D47" s="701" t="s">
        <v>234</v>
      </c>
      <c r="E47" s="701"/>
      <c r="F47" s="701"/>
      <c r="G47" s="701"/>
      <c r="H47" s="701"/>
      <c r="I47" s="701"/>
      <c r="J47" s="701"/>
      <c r="K47" s="701"/>
      <c r="L47" s="742"/>
      <c r="M47" s="758"/>
      <c r="N47" s="758"/>
      <c r="U47" s="758"/>
      <c r="V47" s="758"/>
      <c r="W47" s="758"/>
      <c r="X47" s="758"/>
      <c r="Y47" s="758"/>
      <c r="Z47" s="758"/>
      <c r="AA47" s="758"/>
      <c r="AB47" s="758"/>
      <c r="AC47" s="758"/>
      <c r="AD47" s="758"/>
      <c r="AE47" s="758"/>
      <c r="AF47" s="758"/>
      <c r="AG47" s="758"/>
      <c r="AH47" s="758"/>
    </row>
    <row r="48" spans="2:34" ht="16.5" thickBot="1" x14ac:dyDescent="0.3">
      <c r="B48" s="301"/>
      <c r="C48" s="732"/>
      <c r="D48" s="732"/>
      <c r="E48" s="732"/>
      <c r="F48" s="732"/>
      <c r="G48" s="732"/>
      <c r="H48" s="732"/>
      <c r="I48" s="732"/>
      <c r="J48" s="732"/>
      <c r="K48" s="732"/>
      <c r="L48" s="767"/>
      <c r="M48" s="758"/>
      <c r="N48" s="758"/>
      <c r="U48" s="758"/>
      <c r="V48" s="758"/>
      <c r="W48" s="758"/>
      <c r="X48" s="758"/>
      <c r="Y48" s="758"/>
      <c r="Z48" s="758"/>
      <c r="AA48" s="758"/>
      <c r="AB48" s="758"/>
      <c r="AC48" s="758"/>
      <c r="AD48" s="758"/>
      <c r="AE48" s="758"/>
      <c r="AF48" s="758"/>
      <c r="AG48" s="758"/>
      <c r="AH48" s="758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9"/>
  <sheetViews>
    <sheetView topLeftCell="A34" workbookViewId="0">
      <selection activeCell="E53" sqref="E53"/>
    </sheetView>
  </sheetViews>
  <sheetFormatPr baseColWidth="10" defaultColWidth="11.42578125" defaultRowHeight="15.75" x14ac:dyDescent="0.25"/>
  <cols>
    <col min="1" max="1" width="7.7109375" style="8" customWidth="1"/>
    <col min="2" max="2" width="54.7109375" style="8" customWidth="1"/>
    <col min="3" max="3" width="58.28515625" style="8" customWidth="1"/>
    <col min="4" max="4" width="12.5703125" style="8" bestFit="1" customWidth="1"/>
    <col min="5" max="5" width="12.5703125" style="8" customWidth="1"/>
    <col min="6" max="6" width="12.140625" style="8" customWidth="1"/>
    <col min="7" max="9" width="10.85546875" style="8" bestFit="1" customWidth="1"/>
    <col min="10" max="15" width="10.7109375" style="8" customWidth="1"/>
    <col min="16" max="16" width="11" style="9" customWidth="1"/>
    <col min="17" max="17" width="10.7109375" style="9" bestFit="1" customWidth="1"/>
    <col min="18" max="24" width="9.85546875" style="9" bestFit="1" customWidth="1"/>
    <col min="25" max="256" width="11.42578125" style="9"/>
    <col min="257" max="257" width="7.7109375" style="9" customWidth="1"/>
    <col min="258" max="258" width="54.7109375" style="9" customWidth="1"/>
    <col min="259" max="259" width="58.28515625" style="9" customWidth="1"/>
    <col min="260" max="260" width="12.5703125" style="9" bestFit="1" customWidth="1"/>
    <col min="261" max="261" width="12.5703125" style="9" customWidth="1"/>
    <col min="262" max="262" width="12.140625" style="9" customWidth="1"/>
    <col min="263" max="265" width="10.85546875" style="9" bestFit="1" customWidth="1"/>
    <col min="266" max="271" width="10.7109375" style="9" customWidth="1"/>
    <col min="272" max="272" width="11" style="9" customWidth="1"/>
    <col min="273" max="273" width="10.7109375" style="9" bestFit="1" customWidth="1"/>
    <col min="274" max="280" width="9.85546875" style="9" bestFit="1" customWidth="1"/>
    <col min="281" max="512" width="11.42578125" style="9"/>
    <col min="513" max="513" width="7.7109375" style="9" customWidth="1"/>
    <col min="514" max="514" width="54.7109375" style="9" customWidth="1"/>
    <col min="515" max="515" width="58.28515625" style="9" customWidth="1"/>
    <col min="516" max="516" width="12.5703125" style="9" bestFit="1" customWidth="1"/>
    <col min="517" max="517" width="12.5703125" style="9" customWidth="1"/>
    <col min="518" max="518" width="12.140625" style="9" customWidth="1"/>
    <col min="519" max="521" width="10.85546875" style="9" bestFit="1" customWidth="1"/>
    <col min="522" max="527" width="10.7109375" style="9" customWidth="1"/>
    <col min="528" max="528" width="11" style="9" customWidth="1"/>
    <col min="529" max="529" width="10.7109375" style="9" bestFit="1" customWidth="1"/>
    <col min="530" max="536" width="9.85546875" style="9" bestFit="1" customWidth="1"/>
    <col min="537" max="768" width="11.42578125" style="9"/>
    <col min="769" max="769" width="7.7109375" style="9" customWidth="1"/>
    <col min="770" max="770" width="54.7109375" style="9" customWidth="1"/>
    <col min="771" max="771" width="58.28515625" style="9" customWidth="1"/>
    <col min="772" max="772" width="12.5703125" style="9" bestFit="1" customWidth="1"/>
    <col min="773" max="773" width="12.5703125" style="9" customWidth="1"/>
    <col min="774" max="774" width="12.140625" style="9" customWidth="1"/>
    <col min="775" max="777" width="10.85546875" style="9" bestFit="1" customWidth="1"/>
    <col min="778" max="783" width="10.7109375" style="9" customWidth="1"/>
    <col min="784" max="784" width="11" style="9" customWidth="1"/>
    <col min="785" max="785" width="10.7109375" style="9" bestFit="1" customWidth="1"/>
    <col min="786" max="792" width="9.85546875" style="9" bestFit="1" customWidth="1"/>
    <col min="793" max="1024" width="11.42578125" style="9"/>
    <col min="1025" max="1025" width="7.7109375" style="9" customWidth="1"/>
    <col min="1026" max="1026" width="54.7109375" style="9" customWidth="1"/>
    <col min="1027" max="1027" width="58.28515625" style="9" customWidth="1"/>
    <col min="1028" max="1028" width="12.5703125" style="9" bestFit="1" customWidth="1"/>
    <col min="1029" max="1029" width="12.5703125" style="9" customWidth="1"/>
    <col min="1030" max="1030" width="12.140625" style="9" customWidth="1"/>
    <col min="1031" max="1033" width="10.85546875" style="9" bestFit="1" customWidth="1"/>
    <col min="1034" max="1039" width="10.7109375" style="9" customWidth="1"/>
    <col min="1040" max="1040" width="11" style="9" customWidth="1"/>
    <col min="1041" max="1041" width="10.7109375" style="9" bestFit="1" customWidth="1"/>
    <col min="1042" max="1048" width="9.85546875" style="9" bestFit="1" customWidth="1"/>
    <col min="1049" max="1280" width="11.42578125" style="9"/>
    <col min="1281" max="1281" width="7.7109375" style="9" customWidth="1"/>
    <col min="1282" max="1282" width="54.7109375" style="9" customWidth="1"/>
    <col min="1283" max="1283" width="58.28515625" style="9" customWidth="1"/>
    <col min="1284" max="1284" width="12.5703125" style="9" bestFit="1" customWidth="1"/>
    <col min="1285" max="1285" width="12.5703125" style="9" customWidth="1"/>
    <col min="1286" max="1286" width="12.140625" style="9" customWidth="1"/>
    <col min="1287" max="1289" width="10.85546875" style="9" bestFit="1" customWidth="1"/>
    <col min="1290" max="1295" width="10.7109375" style="9" customWidth="1"/>
    <col min="1296" max="1296" width="11" style="9" customWidth="1"/>
    <col min="1297" max="1297" width="10.7109375" style="9" bestFit="1" customWidth="1"/>
    <col min="1298" max="1304" width="9.85546875" style="9" bestFit="1" customWidth="1"/>
    <col min="1305" max="1536" width="11.42578125" style="9"/>
    <col min="1537" max="1537" width="7.7109375" style="9" customWidth="1"/>
    <col min="1538" max="1538" width="54.7109375" style="9" customWidth="1"/>
    <col min="1539" max="1539" width="58.28515625" style="9" customWidth="1"/>
    <col min="1540" max="1540" width="12.5703125" style="9" bestFit="1" customWidth="1"/>
    <col min="1541" max="1541" width="12.5703125" style="9" customWidth="1"/>
    <col min="1542" max="1542" width="12.140625" style="9" customWidth="1"/>
    <col min="1543" max="1545" width="10.85546875" style="9" bestFit="1" customWidth="1"/>
    <col min="1546" max="1551" width="10.7109375" style="9" customWidth="1"/>
    <col min="1552" max="1552" width="11" style="9" customWidth="1"/>
    <col min="1553" max="1553" width="10.7109375" style="9" bestFit="1" customWidth="1"/>
    <col min="1554" max="1560" width="9.85546875" style="9" bestFit="1" customWidth="1"/>
    <col min="1561" max="1792" width="11.42578125" style="9"/>
    <col min="1793" max="1793" width="7.7109375" style="9" customWidth="1"/>
    <col min="1794" max="1794" width="54.7109375" style="9" customWidth="1"/>
    <col min="1795" max="1795" width="58.28515625" style="9" customWidth="1"/>
    <col min="1796" max="1796" width="12.5703125" style="9" bestFit="1" customWidth="1"/>
    <col min="1797" max="1797" width="12.5703125" style="9" customWidth="1"/>
    <col min="1798" max="1798" width="12.140625" style="9" customWidth="1"/>
    <col min="1799" max="1801" width="10.85546875" style="9" bestFit="1" customWidth="1"/>
    <col min="1802" max="1807" width="10.7109375" style="9" customWidth="1"/>
    <col min="1808" max="1808" width="11" style="9" customWidth="1"/>
    <col min="1809" max="1809" width="10.7109375" style="9" bestFit="1" customWidth="1"/>
    <col min="1810" max="1816" width="9.85546875" style="9" bestFit="1" customWidth="1"/>
    <col min="1817" max="2048" width="11.42578125" style="9"/>
    <col min="2049" max="2049" width="7.7109375" style="9" customWidth="1"/>
    <col min="2050" max="2050" width="54.7109375" style="9" customWidth="1"/>
    <col min="2051" max="2051" width="58.28515625" style="9" customWidth="1"/>
    <col min="2052" max="2052" width="12.5703125" style="9" bestFit="1" customWidth="1"/>
    <col min="2053" max="2053" width="12.5703125" style="9" customWidth="1"/>
    <col min="2054" max="2054" width="12.140625" style="9" customWidth="1"/>
    <col min="2055" max="2057" width="10.85546875" style="9" bestFit="1" customWidth="1"/>
    <col min="2058" max="2063" width="10.7109375" style="9" customWidth="1"/>
    <col min="2064" max="2064" width="11" style="9" customWidth="1"/>
    <col min="2065" max="2065" width="10.7109375" style="9" bestFit="1" customWidth="1"/>
    <col min="2066" max="2072" width="9.85546875" style="9" bestFit="1" customWidth="1"/>
    <col min="2073" max="2304" width="11.42578125" style="9"/>
    <col min="2305" max="2305" width="7.7109375" style="9" customWidth="1"/>
    <col min="2306" max="2306" width="54.7109375" style="9" customWidth="1"/>
    <col min="2307" max="2307" width="58.28515625" style="9" customWidth="1"/>
    <col min="2308" max="2308" width="12.5703125" style="9" bestFit="1" customWidth="1"/>
    <col min="2309" max="2309" width="12.5703125" style="9" customWidth="1"/>
    <col min="2310" max="2310" width="12.140625" style="9" customWidth="1"/>
    <col min="2311" max="2313" width="10.85546875" style="9" bestFit="1" customWidth="1"/>
    <col min="2314" max="2319" width="10.7109375" style="9" customWidth="1"/>
    <col min="2320" max="2320" width="11" style="9" customWidth="1"/>
    <col min="2321" max="2321" width="10.7109375" style="9" bestFit="1" customWidth="1"/>
    <col min="2322" max="2328" width="9.85546875" style="9" bestFit="1" customWidth="1"/>
    <col min="2329" max="2560" width="11.42578125" style="9"/>
    <col min="2561" max="2561" width="7.7109375" style="9" customWidth="1"/>
    <col min="2562" max="2562" width="54.7109375" style="9" customWidth="1"/>
    <col min="2563" max="2563" width="58.28515625" style="9" customWidth="1"/>
    <col min="2564" max="2564" width="12.5703125" style="9" bestFit="1" customWidth="1"/>
    <col min="2565" max="2565" width="12.5703125" style="9" customWidth="1"/>
    <col min="2566" max="2566" width="12.140625" style="9" customWidth="1"/>
    <col min="2567" max="2569" width="10.85546875" style="9" bestFit="1" customWidth="1"/>
    <col min="2570" max="2575" width="10.7109375" style="9" customWidth="1"/>
    <col min="2576" max="2576" width="11" style="9" customWidth="1"/>
    <col min="2577" max="2577" width="10.7109375" style="9" bestFit="1" customWidth="1"/>
    <col min="2578" max="2584" width="9.85546875" style="9" bestFit="1" customWidth="1"/>
    <col min="2585" max="2816" width="11.42578125" style="9"/>
    <col min="2817" max="2817" width="7.7109375" style="9" customWidth="1"/>
    <col min="2818" max="2818" width="54.7109375" style="9" customWidth="1"/>
    <col min="2819" max="2819" width="58.28515625" style="9" customWidth="1"/>
    <col min="2820" max="2820" width="12.5703125" style="9" bestFit="1" customWidth="1"/>
    <col min="2821" max="2821" width="12.5703125" style="9" customWidth="1"/>
    <col min="2822" max="2822" width="12.140625" style="9" customWidth="1"/>
    <col min="2823" max="2825" width="10.85546875" style="9" bestFit="1" customWidth="1"/>
    <col min="2826" max="2831" width="10.7109375" style="9" customWidth="1"/>
    <col min="2832" max="2832" width="11" style="9" customWidth="1"/>
    <col min="2833" max="2833" width="10.7109375" style="9" bestFit="1" customWidth="1"/>
    <col min="2834" max="2840" width="9.85546875" style="9" bestFit="1" customWidth="1"/>
    <col min="2841" max="3072" width="11.42578125" style="9"/>
    <col min="3073" max="3073" width="7.7109375" style="9" customWidth="1"/>
    <col min="3074" max="3074" width="54.7109375" style="9" customWidth="1"/>
    <col min="3075" max="3075" width="58.28515625" style="9" customWidth="1"/>
    <col min="3076" max="3076" width="12.5703125" style="9" bestFit="1" customWidth="1"/>
    <col min="3077" max="3077" width="12.5703125" style="9" customWidth="1"/>
    <col min="3078" max="3078" width="12.140625" style="9" customWidth="1"/>
    <col min="3079" max="3081" width="10.85546875" style="9" bestFit="1" customWidth="1"/>
    <col min="3082" max="3087" width="10.7109375" style="9" customWidth="1"/>
    <col min="3088" max="3088" width="11" style="9" customWidth="1"/>
    <col min="3089" max="3089" width="10.7109375" style="9" bestFit="1" customWidth="1"/>
    <col min="3090" max="3096" width="9.85546875" style="9" bestFit="1" customWidth="1"/>
    <col min="3097" max="3328" width="11.42578125" style="9"/>
    <col min="3329" max="3329" width="7.7109375" style="9" customWidth="1"/>
    <col min="3330" max="3330" width="54.7109375" style="9" customWidth="1"/>
    <col min="3331" max="3331" width="58.28515625" style="9" customWidth="1"/>
    <col min="3332" max="3332" width="12.5703125" style="9" bestFit="1" customWidth="1"/>
    <col min="3333" max="3333" width="12.5703125" style="9" customWidth="1"/>
    <col min="3334" max="3334" width="12.140625" style="9" customWidth="1"/>
    <col min="3335" max="3337" width="10.85546875" style="9" bestFit="1" customWidth="1"/>
    <col min="3338" max="3343" width="10.7109375" style="9" customWidth="1"/>
    <col min="3344" max="3344" width="11" style="9" customWidth="1"/>
    <col min="3345" max="3345" width="10.7109375" style="9" bestFit="1" customWidth="1"/>
    <col min="3346" max="3352" width="9.85546875" style="9" bestFit="1" customWidth="1"/>
    <col min="3353" max="3584" width="11.42578125" style="9"/>
    <col min="3585" max="3585" width="7.7109375" style="9" customWidth="1"/>
    <col min="3586" max="3586" width="54.7109375" style="9" customWidth="1"/>
    <col min="3587" max="3587" width="58.28515625" style="9" customWidth="1"/>
    <col min="3588" max="3588" width="12.5703125" style="9" bestFit="1" customWidth="1"/>
    <col min="3589" max="3589" width="12.5703125" style="9" customWidth="1"/>
    <col min="3590" max="3590" width="12.140625" style="9" customWidth="1"/>
    <col min="3591" max="3593" width="10.85546875" style="9" bestFit="1" customWidth="1"/>
    <col min="3594" max="3599" width="10.7109375" style="9" customWidth="1"/>
    <col min="3600" max="3600" width="11" style="9" customWidth="1"/>
    <col min="3601" max="3601" width="10.7109375" style="9" bestFit="1" customWidth="1"/>
    <col min="3602" max="3608" width="9.85546875" style="9" bestFit="1" customWidth="1"/>
    <col min="3609" max="3840" width="11.42578125" style="9"/>
    <col min="3841" max="3841" width="7.7109375" style="9" customWidth="1"/>
    <col min="3842" max="3842" width="54.7109375" style="9" customWidth="1"/>
    <col min="3843" max="3843" width="58.28515625" style="9" customWidth="1"/>
    <col min="3844" max="3844" width="12.5703125" style="9" bestFit="1" customWidth="1"/>
    <col min="3845" max="3845" width="12.5703125" style="9" customWidth="1"/>
    <col min="3846" max="3846" width="12.140625" style="9" customWidth="1"/>
    <col min="3847" max="3849" width="10.85546875" style="9" bestFit="1" customWidth="1"/>
    <col min="3850" max="3855" width="10.7109375" style="9" customWidth="1"/>
    <col min="3856" max="3856" width="11" style="9" customWidth="1"/>
    <col min="3857" max="3857" width="10.7109375" style="9" bestFit="1" customWidth="1"/>
    <col min="3858" max="3864" width="9.85546875" style="9" bestFit="1" customWidth="1"/>
    <col min="3865" max="4096" width="11.42578125" style="9"/>
    <col min="4097" max="4097" width="7.7109375" style="9" customWidth="1"/>
    <col min="4098" max="4098" width="54.7109375" style="9" customWidth="1"/>
    <col min="4099" max="4099" width="58.28515625" style="9" customWidth="1"/>
    <col min="4100" max="4100" width="12.5703125" style="9" bestFit="1" customWidth="1"/>
    <col min="4101" max="4101" width="12.5703125" style="9" customWidth="1"/>
    <col min="4102" max="4102" width="12.140625" style="9" customWidth="1"/>
    <col min="4103" max="4105" width="10.85546875" style="9" bestFit="1" customWidth="1"/>
    <col min="4106" max="4111" width="10.7109375" style="9" customWidth="1"/>
    <col min="4112" max="4112" width="11" style="9" customWidth="1"/>
    <col min="4113" max="4113" width="10.7109375" style="9" bestFit="1" customWidth="1"/>
    <col min="4114" max="4120" width="9.85546875" style="9" bestFit="1" customWidth="1"/>
    <col min="4121" max="4352" width="11.42578125" style="9"/>
    <col min="4353" max="4353" width="7.7109375" style="9" customWidth="1"/>
    <col min="4354" max="4354" width="54.7109375" style="9" customWidth="1"/>
    <col min="4355" max="4355" width="58.28515625" style="9" customWidth="1"/>
    <col min="4356" max="4356" width="12.5703125" style="9" bestFit="1" customWidth="1"/>
    <col min="4357" max="4357" width="12.5703125" style="9" customWidth="1"/>
    <col min="4358" max="4358" width="12.140625" style="9" customWidth="1"/>
    <col min="4359" max="4361" width="10.85546875" style="9" bestFit="1" customWidth="1"/>
    <col min="4362" max="4367" width="10.7109375" style="9" customWidth="1"/>
    <col min="4368" max="4368" width="11" style="9" customWidth="1"/>
    <col min="4369" max="4369" width="10.7109375" style="9" bestFit="1" customWidth="1"/>
    <col min="4370" max="4376" width="9.85546875" style="9" bestFit="1" customWidth="1"/>
    <col min="4377" max="4608" width="11.42578125" style="9"/>
    <col min="4609" max="4609" width="7.7109375" style="9" customWidth="1"/>
    <col min="4610" max="4610" width="54.7109375" style="9" customWidth="1"/>
    <col min="4611" max="4611" width="58.28515625" style="9" customWidth="1"/>
    <col min="4612" max="4612" width="12.5703125" style="9" bestFit="1" customWidth="1"/>
    <col min="4613" max="4613" width="12.5703125" style="9" customWidth="1"/>
    <col min="4614" max="4614" width="12.140625" style="9" customWidth="1"/>
    <col min="4615" max="4617" width="10.85546875" style="9" bestFit="1" customWidth="1"/>
    <col min="4618" max="4623" width="10.7109375" style="9" customWidth="1"/>
    <col min="4624" max="4624" width="11" style="9" customWidth="1"/>
    <col min="4625" max="4625" width="10.7109375" style="9" bestFit="1" customWidth="1"/>
    <col min="4626" max="4632" width="9.85546875" style="9" bestFit="1" customWidth="1"/>
    <col min="4633" max="4864" width="11.42578125" style="9"/>
    <col min="4865" max="4865" width="7.7109375" style="9" customWidth="1"/>
    <col min="4866" max="4866" width="54.7109375" style="9" customWidth="1"/>
    <col min="4867" max="4867" width="58.28515625" style="9" customWidth="1"/>
    <col min="4868" max="4868" width="12.5703125" style="9" bestFit="1" customWidth="1"/>
    <col min="4869" max="4869" width="12.5703125" style="9" customWidth="1"/>
    <col min="4870" max="4870" width="12.140625" style="9" customWidth="1"/>
    <col min="4871" max="4873" width="10.85546875" style="9" bestFit="1" customWidth="1"/>
    <col min="4874" max="4879" width="10.7109375" style="9" customWidth="1"/>
    <col min="4880" max="4880" width="11" style="9" customWidth="1"/>
    <col min="4881" max="4881" width="10.7109375" style="9" bestFit="1" customWidth="1"/>
    <col min="4882" max="4888" width="9.85546875" style="9" bestFit="1" customWidth="1"/>
    <col min="4889" max="5120" width="11.42578125" style="9"/>
    <col min="5121" max="5121" width="7.7109375" style="9" customWidth="1"/>
    <col min="5122" max="5122" width="54.7109375" style="9" customWidth="1"/>
    <col min="5123" max="5123" width="58.28515625" style="9" customWidth="1"/>
    <col min="5124" max="5124" width="12.5703125" style="9" bestFit="1" customWidth="1"/>
    <col min="5125" max="5125" width="12.5703125" style="9" customWidth="1"/>
    <col min="5126" max="5126" width="12.140625" style="9" customWidth="1"/>
    <col min="5127" max="5129" width="10.85546875" style="9" bestFit="1" customWidth="1"/>
    <col min="5130" max="5135" width="10.7109375" style="9" customWidth="1"/>
    <col min="5136" max="5136" width="11" style="9" customWidth="1"/>
    <col min="5137" max="5137" width="10.7109375" style="9" bestFit="1" customWidth="1"/>
    <col min="5138" max="5144" width="9.85546875" style="9" bestFit="1" customWidth="1"/>
    <col min="5145" max="5376" width="11.42578125" style="9"/>
    <col min="5377" max="5377" width="7.7109375" style="9" customWidth="1"/>
    <col min="5378" max="5378" width="54.7109375" style="9" customWidth="1"/>
    <col min="5379" max="5379" width="58.28515625" style="9" customWidth="1"/>
    <col min="5380" max="5380" width="12.5703125" style="9" bestFit="1" customWidth="1"/>
    <col min="5381" max="5381" width="12.5703125" style="9" customWidth="1"/>
    <col min="5382" max="5382" width="12.140625" style="9" customWidth="1"/>
    <col min="5383" max="5385" width="10.85546875" style="9" bestFit="1" customWidth="1"/>
    <col min="5386" max="5391" width="10.7109375" style="9" customWidth="1"/>
    <col min="5392" max="5392" width="11" style="9" customWidth="1"/>
    <col min="5393" max="5393" width="10.7109375" style="9" bestFit="1" customWidth="1"/>
    <col min="5394" max="5400" width="9.85546875" style="9" bestFit="1" customWidth="1"/>
    <col min="5401" max="5632" width="11.42578125" style="9"/>
    <col min="5633" max="5633" width="7.7109375" style="9" customWidth="1"/>
    <col min="5634" max="5634" width="54.7109375" style="9" customWidth="1"/>
    <col min="5635" max="5635" width="58.28515625" style="9" customWidth="1"/>
    <col min="5636" max="5636" width="12.5703125" style="9" bestFit="1" customWidth="1"/>
    <col min="5637" max="5637" width="12.5703125" style="9" customWidth="1"/>
    <col min="5638" max="5638" width="12.140625" style="9" customWidth="1"/>
    <col min="5639" max="5641" width="10.85546875" style="9" bestFit="1" customWidth="1"/>
    <col min="5642" max="5647" width="10.7109375" style="9" customWidth="1"/>
    <col min="5648" max="5648" width="11" style="9" customWidth="1"/>
    <col min="5649" max="5649" width="10.7109375" style="9" bestFit="1" customWidth="1"/>
    <col min="5650" max="5656" width="9.85546875" style="9" bestFit="1" customWidth="1"/>
    <col min="5657" max="5888" width="11.42578125" style="9"/>
    <col min="5889" max="5889" width="7.7109375" style="9" customWidth="1"/>
    <col min="5890" max="5890" width="54.7109375" style="9" customWidth="1"/>
    <col min="5891" max="5891" width="58.28515625" style="9" customWidth="1"/>
    <col min="5892" max="5892" width="12.5703125" style="9" bestFit="1" customWidth="1"/>
    <col min="5893" max="5893" width="12.5703125" style="9" customWidth="1"/>
    <col min="5894" max="5894" width="12.140625" style="9" customWidth="1"/>
    <col min="5895" max="5897" width="10.85546875" style="9" bestFit="1" customWidth="1"/>
    <col min="5898" max="5903" width="10.7109375" style="9" customWidth="1"/>
    <col min="5904" max="5904" width="11" style="9" customWidth="1"/>
    <col min="5905" max="5905" width="10.7109375" style="9" bestFit="1" customWidth="1"/>
    <col min="5906" max="5912" width="9.85546875" style="9" bestFit="1" customWidth="1"/>
    <col min="5913" max="6144" width="11.42578125" style="9"/>
    <col min="6145" max="6145" width="7.7109375" style="9" customWidth="1"/>
    <col min="6146" max="6146" width="54.7109375" style="9" customWidth="1"/>
    <col min="6147" max="6147" width="58.28515625" style="9" customWidth="1"/>
    <col min="6148" max="6148" width="12.5703125" style="9" bestFit="1" customWidth="1"/>
    <col min="6149" max="6149" width="12.5703125" style="9" customWidth="1"/>
    <col min="6150" max="6150" width="12.140625" style="9" customWidth="1"/>
    <col min="6151" max="6153" width="10.85546875" style="9" bestFit="1" customWidth="1"/>
    <col min="6154" max="6159" width="10.7109375" style="9" customWidth="1"/>
    <col min="6160" max="6160" width="11" style="9" customWidth="1"/>
    <col min="6161" max="6161" width="10.7109375" style="9" bestFit="1" customWidth="1"/>
    <col min="6162" max="6168" width="9.85546875" style="9" bestFit="1" customWidth="1"/>
    <col min="6169" max="6400" width="11.42578125" style="9"/>
    <col min="6401" max="6401" width="7.7109375" style="9" customWidth="1"/>
    <col min="6402" max="6402" width="54.7109375" style="9" customWidth="1"/>
    <col min="6403" max="6403" width="58.28515625" style="9" customWidth="1"/>
    <col min="6404" max="6404" width="12.5703125" style="9" bestFit="1" customWidth="1"/>
    <col min="6405" max="6405" width="12.5703125" style="9" customWidth="1"/>
    <col min="6406" max="6406" width="12.140625" style="9" customWidth="1"/>
    <col min="6407" max="6409" width="10.85546875" style="9" bestFit="1" customWidth="1"/>
    <col min="6410" max="6415" width="10.7109375" style="9" customWidth="1"/>
    <col min="6416" max="6416" width="11" style="9" customWidth="1"/>
    <col min="6417" max="6417" width="10.7109375" style="9" bestFit="1" customWidth="1"/>
    <col min="6418" max="6424" width="9.85546875" style="9" bestFit="1" customWidth="1"/>
    <col min="6425" max="6656" width="11.42578125" style="9"/>
    <col min="6657" max="6657" width="7.7109375" style="9" customWidth="1"/>
    <col min="6658" max="6658" width="54.7109375" style="9" customWidth="1"/>
    <col min="6659" max="6659" width="58.28515625" style="9" customWidth="1"/>
    <col min="6660" max="6660" width="12.5703125" style="9" bestFit="1" customWidth="1"/>
    <col min="6661" max="6661" width="12.5703125" style="9" customWidth="1"/>
    <col min="6662" max="6662" width="12.140625" style="9" customWidth="1"/>
    <col min="6663" max="6665" width="10.85546875" style="9" bestFit="1" customWidth="1"/>
    <col min="6666" max="6671" width="10.7109375" style="9" customWidth="1"/>
    <col min="6672" max="6672" width="11" style="9" customWidth="1"/>
    <col min="6673" max="6673" width="10.7109375" style="9" bestFit="1" customWidth="1"/>
    <col min="6674" max="6680" width="9.85546875" style="9" bestFit="1" customWidth="1"/>
    <col min="6681" max="6912" width="11.42578125" style="9"/>
    <col min="6913" max="6913" width="7.7109375" style="9" customWidth="1"/>
    <col min="6914" max="6914" width="54.7109375" style="9" customWidth="1"/>
    <col min="6915" max="6915" width="58.28515625" style="9" customWidth="1"/>
    <col min="6916" max="6916" width="12.5703125" style="9" bestFit="1" customWidth="1"/>
    <col min="6917" max="6917" width="12.5703125" style="9" customWidth="1"/>
    <col min="6918" max="6918" width="12.140625" style="9" customWidth="1"/>
    <col min="6919" max="6921" width="10.85546875" style="9" bestFit="1" customWidth="1"/>
    <col min="6922" max="6927" width="10.7109375" style="9" customWidth="1"/>
    <col min="6928" max="6928" width="11" style="9" customWidth="1"/>
    <col min="6929" max="6929" width="10.7109375" style="9" bestFit="1" customWidth="1"/>
    <col min="6930" max="6936" width="9.85546875" style="9" bestFit="1" customWidth="1"/>
    <col min="6937" max="7168" width="11.42578125" style="9"/>
    <col min="7169" max="7169" width="7.7109375" style="9" customWidth="1"/>
    <col min="7170" max="7170" width="54.7109375" style="9" customWidth="1"/>
    <col min="7171" max="7171" width="58.28515625" style="9" customWidth="1"/>
    <col min="7172" max="7172" width="12.5703125" style="9" bestFit="1" customWidth="1"/>
    <col min="7173" max="7173" width="12.5703125" style="9" customWidth="1"/>
    <col min="7174" max="7174" width="12.140625" style="9" customWidth="1"/>
    <col min="7175" max="7177" width="10.85546875" style="9" bestFit="1" customWidth="1"/>
    <col min="7178" max="7183" width="10.7109375" style="9" customWidth="1"/>
    <col min="7184" max="7184" width="11" style="9" customWidth="1"/>
    <col min="7185" max="7185" width="10.7109375" style="9" bestFit="1" customWidth="1"/>
    <col min="7186" max="7192" width="9.85546875" style="9" bestFit="1" customWidth="1"/>
    <col min="7193" max="7424" width="11.42578125" style="9"/>
    <col min="7425" max="7425" width="7.7109375" style="9" customWidth="1"/>
    <col min="7426" max="7426" width="54.7109375" style="9" customWidth="1"/>
    <col min="7427" max="7427" width="58.28515625" style="9" customWidth="1"/>
    <col min="7428" max="7428" width="12.5703125" style="9" bestFit="1" customWidth="1"/>
    <col min="7429" max="7429" width="12.5703125" style="9" customWidth="1"/>
    <col min="7430" max="7430" width="12.140625" style="9" customWidth="1"/>
    <col min="7431" max="7433" width="10.85546875" style="9" bestFit="1" customWidth="1"/>
    <col min="7434" max="7439" width="10.7109375" style="9" customWidth="1"/>
    <col min="7440" max="7440" width="11" style="9" customWidth="1"/>
    <col min="7441" max="7441" width="10.7109375" style="9" bestFit="1" customWidth="1"/>
    <col min="7442" max="7448" width="9.85546875" style="9" bestFit="1" customWidth="1"/>
    <col min="7449" max="7680" width="11.42578125" style="9"/>
    <col min="7681" max="7681" width="7.7109375" style="9" customWidth="1"/>
    <col min="7682" max="7682" width="54.7109375" style="9" customWidth="1"/>
    <col min="7683" max="7683" width="58.28515625" style="9" customWidth="1"/>
    <col min="7684" max="7684" width="12.5703125" style="9" bestFit="1" customWidth="1"/>
    <col min="7685" max="7685" width="12.5703125" style="9" customWidth="1"/>
    <col min="7686" max="7686" width="12.140625" style="9" customWidth="1"/>
    <col min="7687" max="7689" width="10.85546875" style="9" bestFit="1" customWidth="1"/>
    <col min="7690" max="7695" width="10.7109375" style="9" customWidth="1"/>
    <col min="7696" max="7696" width="11" style="9" customWidth="1"/>
    <col min="7697" max="7697" width="10.7109375" style="9" bestFit="1" customWidth="1"/>
    <col min="7698" max="7704" width="9.85546875" style="9" bestFit="1" customWidth="1"/>
    <col min="7705" max="7936" width="11.42578125" style="9"/>
    <col min="7937" max="7937" width="7.7109375" style="9" customWidth="1"/>
    <col min="7938" max="7938" width="54.7109375" style="9" customWidth="1"/>
    <col min="7939" max="7939" width="58.28515625" style="9" customWidth="1"/>
    <col min="7940" max="7940" width="12.5703125" style="9" bestFit="1" customWidth="1"/>
    <col min="7941" max="7941" width="12.5703125" style="9" customWidth="1"/>
    <col min="7942" max="7942" width="12.140625" style="9" customWidth="1"/>
    <col min="7943" max="7945" width="10.85546875" style="9" bestFit="1" customWidth="1"/>
    <col min="7946" max="7951" width="10.7109375" style="9" customWidth="1"/>
    <col min="7952" max="7952" width="11" style="9" customWidth="1"/>
    <col min="7953" max="7953" width="10.7109375" style="9" bestFit="1" customWidth="1"/>
    <col min="7954" max="7960" width="9.85546875" style="9" bestFit="1" customWidth="1"/>
    <col min="7961" max="8192" width="11.42578125" style="9"/>
    <col min="8193" max="8193" width="7.7109375" style="9" customWidth="1"/>
    <col min="8194" max="8194" width="54.7109375" style="9" customWidth="1"/>
    <col min="8195" max="8195" width="58.28515625" style="9" customWidth="1"/>
    <col min="8196" max="8196" width="12.5703125" style="9" bestFit="1" customWidth="1"/>
    <col min="8197" max="8197" width="12.5703125" style="9" customWidth="1"/>
    <col min="8198" max="8198" width="12.140625" style="9" customWidth="1"/>
    <col min="8199" max="8201" width="10.85546875" style="9" bestFit="1" customWidth="1"/>
    <col min="8202" max="8207" width="10.7109375" style="9" customWidth="1"/>
    <col min="8208" max="8208" width="11" style="9" customWidth="1"/>
    <col min="8209" max="8209" width="10.7109375" style="9" bestFit="1" customWidth="1"/>
    <col min="8210" max="8216" width="9.85546875" style="9" bestFit="1" customWidth="1"/>
    <col min="8217" max="8448" width="11.42578125" style="9"/>
    <col min="8449" max="8449" width="7.7109375" style="9" customWidth="1"/>
    <col min="8450" max="8450" width="54.7109375" style="9" customWidth="1"/>
    <col min="8451" max="8451" width="58.28515625" style="9" customWidth="1"/>
    <col min="8452" max="8452" width="12.5703125" style="9" bestFit="1" customWidth="1"/>
    <col min="8453" max="8453" width="12.5703125" style="9" customWidth="1"/>
    <col min="8454" max="8454" width="12.140625" style="9" customWidth="1"/>
    <col min="8455" max="8457" width="10.85546875" style="9" bestFit="1" customWidth="1"/>
    <col min="8458" max="8463" width="10.7109375" style="9" customWidth="1"/>
    <col min="8464" max="8464" width="11" style="9" customWidth="1"/>
    <col min="8465" max="8465" width="10.7109375" style="9" bestFit="1" customWidth="1"/>
    <col min="8466" max="8472" width="9.85546875" style="9" bestFit="1" customWidth="1"/>
    <col min="8473" max="8704" width="11.42578125" style="9"/>
    <col min="8705" max="8705" width="7.7109375" style="9" customWidth="1"/>
    <col min="8706" max="8706" width="54.7109375" style="9" customWidth="1"/>
    <col min="8707" max="8707" width="58.28515625" style="9" customWidth="1"/>
    <col min="8708" max="8708" width="12.5703125" style="9" bestFit="1" customWidth="1"/>
    <col min="8709" max="8709" width="12.5703125" style="9" customWidth="1"/>
    <col min="8710" max="8710" width="12.140625" style="9" customWidth="1"/>
    <col min="8711" max="8713" width="10.85546875" style="9" bestFit="1" customWidth="1"/>
    <col min="8714" max="8719" width="10.7109375" style="9" customWidth="1"/>
    <col min="8720" max="8720" width="11" style="9" customWidth="1"/>
    <col min="8721" max="8721" width="10.7109375" style="9" bestFit="1" customWidth="1"/>
    <col min="8722" max="8728" width="9.85546875" style="9" bestFit="1" customWidth="1"/>
    <col min="8729" max="8960" width="11.42578125" style="9"/>
    <col min="8961" max="8961" width="7.7109375" style="9" customWidth="1"/>
    <col min="8962" max="8962" width="54.7109375" style="9" customWidth="1"/>
    <col min="8963" max="8963" width="58.28515625" style="9" customWidth="1"/>
    <col min="8964" max="8964" width="12.5703125" style="9" bestFit="1" customWidth="1"/>
    <col min="8965" max="8965" width="12.5703125" style="9" customWidth="1"/>
    <col min="8966" max="8966" width="12.140625" style="9" customWidth="1"/>
    <col min="8967" max="8969" width="10.85546875" style="9" bestFit="1" customWidth="1"/>
    <col min="8970" max="8975" width="10.7109375" style="9" customWidth="1"/>
    <col min="8976" max="8976" width="11" style="9" customWidth="1"/>
    <col min="8977" max="8977" width="10.7109375" style="9" bestFit="1" customWidth="1"/>
    <col min="8978" max="8984" width="9.85546875" style="9" bestFit="1" customWidth="1"/>
    <col min="8985" max="9216" width="11.42578125" style="9"/>
    <col min="9217" max="9217" width="7.7109375" style="9" customWidth="1"/>
    <col min="9218" max="9218" width="54.7109375" style="9" customWidth="1"/>
    <col min="9219" max="9219" width="58.28515625" style="9" customWidth="1"/>
    <col min="9220" max="9220" width="12.5703125" style="9" bestFit="1" customWidth="1"/>
    <col min="9221" max="9221" width="12.5703125" style="9" customWidth="1"/>
    <col min="9222" max="9222" width="12.140625" style="9" customWidth="1"/>
    <col min="9223" max="9225" width="10.85546875" style="9" bestFit="1" customWidth="1"/>
    <col min="9226" max="9231" width="10.7109375" style="9" customWidth="1"/>
    <col min="9232" max="9232" width="11" style="9" customWidth="1"/>
    <col min="9233" max="9233" width="10.7109375" style="9" bestFit="1" customWidth="1"/>
    <col min="9234" max="9240" width="9.85546875" style="9" bestFit="1" customWidth="1"/>
    <col min="9241" max="9472" width="11.42578125" style="9"/>
    <col min="9473" max="9473" width="7.7109375" style="9" customWidth="1"/>
    <col min="9474" max="9474" width="54.7109375" style="9" customWidth="1"/>
    <col min="9475" max="9475" width="58.28515625" style="9" customWidth="1"/>
    <col min="9476" max="9476" width="12.5703125" style="9" bestFit="1" customWidth="1"/>
    <col min="9477" max="9477" width="12.5703125" style="9" customWidth="1"/>
    <col min="9478" max="9478" width="12.140625" style="9" customWidth="1"/>
    <col min="9479" max="9481" width="10.85546875" style="9" bestFit="1" customWidth="1"/>
    <col min="9482" max="9487" width="10.7109375" style="9" customWidth="1"/>
    <col min="9488" max="9488" width="11" style="9" customWidth="1"/>
    <col min="9489" max="9489" width="10.7109375" style="9" bestFit="1" customWidth="1"/>
    <col min="9490" max="9496" width="9.85546875" style="9" bestFit="1" customWidth="1"/>
    <col min="9497" max="9728" width="11.42578125" style="9"/>
    <col min="9729" max="9729" width="7.7109375" style="9" customWidth="1"/>
    <col min="9730" max="9730" width="54.7109375" style="9" customWidth="1"/>
    <col min="9731" max="9731" width="58.28515625" style="9" customWidth="1"/>
    <col min="9732" max="9732" width="12.5703125" style="9" bestFit="1" customWidth="1"/>
    <col min="9733" max="9733" width="12.5703125" style="9" customWidth="1"/>
    <col min="9734" max="9734" width="12.140625" style="9" customWidth="1"/>
    <col min="9735" max="9737" width="10.85546875" style="9" bestFit="1" customWidth="1"/>
    <col min="9738" max="9743" width="10.7109375" style="9" customWidth="1"/>
    <col min="9744" max="9744" width="11" style="9" customWidth="1"/>
    <col min="9745" max="9745" width="10.7109375" style="9" bestFit="1" customWidth="1"/>
    <col min="9746" max="9752" width="9.85546875" style="9" bestFit="1" customWidth="1"/>
    <col min="9753" max="9984" width="11.42578125" style="9"/>
    <col min="9985" max="9985" width="7.7109375" style="9" customWidth="1"/>
    <col min="9986" max="9986" width="54.7109375" style="9" customWidth="1"/>
    <col min="9987" max="9987" width="58.28515625" style="9" customWidth="1"/>
    <col min="9988" max="9988" width="12.5703125" style="9" bestFit="1" customWidth="1"/>
    <col min="9989" max="9989" width="12.5703125" style="9" customWidth="1"/>
    <col min="9990" max="9990" width="12.140625" style="9" customWidth="1"/>
    <col min="9991" max="9993" width="10.85546875" style="9" bestFit="1" customWidth="1"/>
    <col min="9994" max="9999" width="10.7109375" style="9" customWidth="1"/>
    <col min="10000" max="10000" width="11" style="9" customWidth="1"/>
    <col min="10001" max="10001" width="10.7109375" style="9" bestFit="1" customWidth="1"/>
    <col min="10002" max="10008" width="9.85546875" style="9" bestFit="1" customWidth="1"/>
    <col min="10009" max="10240" width="11.42578125" style="9"/>
    <col min="10241" max="10241" width="7.7109375" style="9" customWidth="1"/>
    <col min="10242" max="10242" width="54.7109375" style="9" customWidth="1"/>
    <col min="10243" max="10243" width="58.28515625" style="9" customWidth="1"/>
    <col min="10244" max="10244" width="12.5703125" style="9" bestFit="1" customWidth="1"/>
    <col min="10245" max="10245" width="12.5703125" style="9" customWidth="1"/>
    <col min="10246" max="10246" width="12.140625" style="9" customWidth="1"/>
    <col min="10247" max="10249" width="10.85546875" style="9" bestFit="1" customWidth="1"/>
    <col min="10250" max="10255" width="10.7109375" style="9" customWidth="1"/>
    <col min="10256" max="10256" width="11" style="9" customWidth="1"/>
    <col min="10257" max="10257" width="10.7109375" style="9" bestFit="1" customWidth="1"/>
    <col min="10258" max="10264" width="9.85546875" style="9" bestFit="1" customWidth="1"/>
    <col min="10265" max="10496" width="11.42578125" style="9"/>
    <col min="10497" max="10497" width="7.7109375" style="9" customWidth="1"/>
    <col min="10498" max="10498" width="54.7109375" style="9" customWidth="1"/>
    <col min="10499" max="10499" width="58.28515625" style="9" customWidth="1"/>
    <col min="10500" max="10500" width="12.5703125" style="9" bestFit="1" customWidth="1"/>
    <col min="10501" max="10501" width="12.5703125" style="9" customWidth="1"/>
    <col min="10502" max="10502" width="12.140625" style="9" customWidth="1"/>
    <col min="10503" max="10505" width="10.85546875" style="9" bestFit="1" customWidth="1"/>
    <col min="10506" max="10511" width="10.7109375" style="9" customWidth="1"/>
    <col min="10512" max="10512" width="11" style="9" customWidth="1"/>
    <col min="10513" max="10513" width="10.7109375" style="9" bestFit="1" customWidth="1"/>
    <col min="10514" max="10520" width="9.85546875" style="9" bestFit="1" customWidth="1"/>
    <col min="10521" max="10752" width="11.42578125" style="9"/>
    <col min="10753" max="10753" width="7.7109375" style="9" customWidth="1"/>
    <col min="10754" max="10754" width="54.7109375" style="9" customWidth="1"/>
    <col min="10755" max="10755" width="58.28515625" style="9" customWidth="1"/>
    <col min="10756" max="10756" width="12.5703125" style="9" bestFit="1" customWidth="1"/>
    <col min="10757" max="10757" width="12.5703125" style="9" customWidth="1"/>
    <col min="10758" max="10758" width="12.140625" style="9" customWidth="1"/>
    <col min="10759" max="10761" width="10.85546875" style="9" bestFit="1" customWidth="1"/>
    <col min="10762" max="10767" width="10.7109375" style="9" customWidth="1"/>
    <col min="10768" max="10768" width="11" style="9" customWidth="1"/>
    <col min="10769" max="10769" width="10.7109375" style="9" bestFit="1" customWidth="1"/>
    <col min="10770" max="10776" width="9.85546875" style="9" bestFit="1" customWidth="1"/>
    <col min="10777" max="11008" width="11.42578125" style="9"/>
    <col min="11009" max="11009" width="7.7109375" style="9" customWidth="1"/>
    <col min="11010" max="11010" width="54.7109375" style="9" customWidth="1"/>
    <col min="11011" max="11011" width="58.28515625" style="9" customWidth="1"/>
    <col min="11012" max="11012" width="12.5703125" style="9" bestFit="1" customWidth="1"/>
    <col min="11013" max="11013" width="12.5703125" style="9" customWidth="1"/>
    <col min="11014" max="11014" width="12.140625" style="9" customWidth="1"/>
    <col min="11015" max="11017" width="10.85546875" style="9" bestFit="1" customWidth="1"/>
    <col min="11018" max="11023" width="10.7109375" style="9" customWidth="1"/>
    <col min="11024" max="11024" width="11" style="9" customWidth="1"/>
    <col min="11025" max="11025" width="10.7109375" style="9" bestFit="1" customWidth="1"/>
    <col min="11026" max="11032" width="9.85546875" style="9" bestFit="1" customWidth="1"/>
    <col min="11033" max="11264" width="11.42578125" style="9"/>
    <col min="11265" max="11265" width="7.7109375" style="9" customWidth="1"/>
    <col min="11266" max="11266" width="54.7109375" style="9" customWidth="1"/>
    <col min="11267" max="11267" width="58.28515625" style="9" customWidth="1"/>
    <col min="11268" max="11268" width="12.5703125" style="9" bestFit="1" customWidth="1"/>
    <col min="11269" max="11269" width="12.5703125" style="9" customWidth="1"/>
    <col min="11270" max="11270" width="12.140625" style="9" customWidth="1"/>
    <col min="11271" max="11273" width="10.85546875" style="9" bestFit="1" customWidth="1"/>
    <col min="11274" max="11279" width="10.7109375" style="9" customWidth="1"/>
    <col min="11280" max="11280" width="11" style="9" customWidth="1"/>
    <col min="11281" max="11281" width="10.7109375" style="9" bestFit="1" customWidth="1"/>
    <col min="11282" max="11288" width="9.85546875" style="9" bestFit="1" customWidth="1"/>
    <col min="11289" max="11520" width="11.42578125" style="9"/>
    <col min="11521" max="11521" width="7.7109375" style="9" customWidth="1"/>
    <col min="11522" max="11522" width="54.7109375" style="9" customWidth="1"/>
    <col min="11523" max="11523" width="58.28515625" style="9" customWidth="1"/>
    <col min="11524" max="11524" width="12.5703125" style="9" bestFit="1" customWidth="1"/>
    <col min="11525" max="11525" width="12.5703125" style="9" customWidth="1"/>
    <col min="11526" max="11526" width="12.140625" style="9" customWidth="1"/>
    <col min="11527" max="11529" width="10.85546875" style="9" bestFit="1" customWidth="1"/>
    <col min="11530" max="11535" width="10.7109375" style="9" customWidth="1"/>
    <col min="11536" max="11536" width="11" style="9" customWidth="1"/>
    <col min="11537" max="11537" width="10.7109375" style="9" bestFit="1" customWidth="1"/>
    <col min="11538" max="11544" width="9.85546875" style="9" bestFit="1" customWidth="1"/>
    <col min="11545" max="11776" width="11.42578125" style="9"/>
    <col min="11777" max="11777" width="7.7109375" style="9" customWidth="1"/>
    <col min="11778" max="11778" width="54.7109375" style="9" customWidth="1"/>
    <col min="11779" max="11779" width="58.28515625" style="9" customWidth="1"/>
    <col min="11780" max="11780" width="12.5703125" style="9" bestFit="1" customWidth="1"/>
    <col min="11781" max="11781" width="12.5703125" style="9" customWidth="1"/>
    <col min="11782" max="11782" width="12.140625" style="9" customWidth="1"/>
    <col min="11783" max="11785" width="10.85546875" style="9" bestFit="1" customWidth="1"/>
    <col min="11786" max="11791" width="10.7109375" style="9" customWidth="1"/>
    <col min="11792" max="11792" width="11" style="9" customWidth="1"/>
    <col min="11793" max="11793" width="10.7109375" style="9" bestFit="1" customWidth="1"/>
    <col min="11794" max="11800" width="9.85546875" style="9" bestFit="1" customWidth="1"/>
    <col min="11801" max="12032" width="11.42578125" style="9"/>
    <col min="12033" max="12033" width="7.7109375" style="9" customWidth="1"/>
    <col min="12034" max="12034" width="54.7109375" style="9" customWidth="1"/>
    <col min="12035" max="12035" width="58.28515625" style="9" customWidth="1"/>
    <col min="12036" max="12036" width="12.5703125" style="9" bestFit="1" customWidth="1"/>
    <col min="12037" max="12037" width="12.5703125" style="9" customWidth="1"/>
    <col min="12038" max="12038" width="12.140625" style="9" customWidth="1"/>
    <col min="12039" max="12041" width="10.85546875" style="9" bestFit="1" customWidth="1"/>
    <col min="12042" max="12047" width="10.7109375" style="9" customWidth="1"/>
    <col min="12048" max="12048" width="11" style="9" customWidth="1"/>
    <col min="12049" max="12049" width="10.7109375" style="9" bestFit="1" customWidth="1"/>
    <col min="12050" max="12056" width="9.85546875" style="9" bestFit="1" customWidth="1"/>
    <col min="12057" max="12288" width="11.42578125" style="9"/>
    <col min="12289" max="12289" width="7.7109375" style="9" customWidth="1"/>
    <col min="12290" max="12290" width="54.7109375" style="9" customWidth="1"/>
    <col min="12291" max="12291" width="58.28515625" style="9" customWidth="1"/>
    <col min="12292" max="12292" width="12.5703125" style="9" bestFit="1" customWidth="1"/>
    <col min="12293" max="12293" width="12.5703125" style="9" customWidth="1"/>
    <col min="12294" max="12294" width="12.140625" style="9" customWidth="1"/>
    <col min="12295" max="12297" width="10.85546875" style="9" bestFit="1" customWidth="1"/>
    <col min="12298" max="12303" width="10.7109375" style="9" customWidth="1"/>
    <col min="12304" max="12304" width="11" style="9" customWidth="1"/>
    <col min="12305" max="12305" width="10.7109375" style="9" bestFit="1" customWidth="1"/>
    <col min="12306" max="12312" width="9.85546875" style="9" bestFit="1" customWidth="1"/>
    <col min="12313" max="12544" width="11.42578125" style="9"/>
    <col min="12545" max="12545" width="7.7109375" style="9" customWidth="1"/>
    <col min="12546" max="12546" width="54.7109375" style="9" customWidth="1"/>
    <col min="12547" max="12547" width="58.28515625" style="9" customWidth="1"/>
    <col min="12548" max="12548" width="12.5703125" style="9" bestFit="1" customWidth="1"/>
    <col min="12549" max="12549" width="12.5703125" style="9" customWidth="1"/>
    <col min="12550" max="12550" width="12.140625" style="9" customWidth="1"/>
    <col min="12551" max="12553" width="10.85546875" style="9" bestFit="1" customWidth="1"/>
    <col min="12554" max="12559" width="10.7109375" style="9" customWidth="1"/>
    <col min="12560" max="12560" width="11" style="9" customWidth="1"/>
    <col min="12561" max="12561" width="10.7109375" style="9" bestFit="1" customWidth="1"/>
    <col min="12562" max="12568" width="9.85546875" style="9" bestFit="1" customWidth="1"/>
    <col min="12569" max="12800" width="11.42578125" style="9"/>
    <col min="12801" max="12801" width="7.7109375" style="9" customWidth="1"/>
    <col min="12802" max="12802" width="54.7109375" style="9" customWidth="1"/>
    <col min="12803" max="12803" width="58.28515625" style="9" customWidth="1"/>
    <col min="12804" max="12804" width="12.5703125" style="9" bestFit="1" customWidth="1"/>
    <col min="12805" max="12805" width="12.5703125" style="9" customWidth="1"/>
    <col min="12806" max="12806" width="12.140625" style="9" customWidth="1"/>
    <col min="12807" max="12809" width="10.85546875" style="9" bestFit="1" customWidth="1"/>
    <col min="12810" max="12815" width="10.7109375" style="9" customWidth="1"/>
    <col min="12816" max="12816" width="11" style="9" customWidth="1"/>
    <col min="12817" max="12817" width="10.7109375" style="9" bestFit="1" customWidth="1"/>
    <col min="12818" max="12824" width="9.85546875" style="9" bestFit="1" customWidth="1"/>
    <col min="12825" max="13056" width="11.42578125" style="9"/>
    <col min="13057" max="13057" width="7.7109375" style="9" customWidth="1"/>
    <col min="13058" max="13058" width="54.7109375" style="9" customWidth="1"/>
    <col min="13059" max="13059" width="58.28515625" style="9" customWidth="1"/>
    <col min="13060" max="13060" width="12.5703125" style="9" bestFit="1" customWidth="1"/>
    <col min="13061" max="13061" width="12.5703125" style="9" customWidth="1"/>
    <col min="13062" max="13062" width="12.140625" style="9" customWidth="1"/>
    <col min="13063" max="13065" width="10.85546875" style="9" bestFit="1" customWidth="1"/>
    <col min="13066" max="13071" width="10.7109375" style="9" customWidth="1"/>
    <col min="13072" max="13072" width="11" style="9" customWidth="1"/>
    <col min="13073" max="13073" width="10.7109375" style="9" bestFit="1" customWidth="1"/>
    <col min="13074" max="13080" width="9.85546875" style="9" bestFit="1" customWidth="1"/>
    <col min="13081" max="13312" width="11.42578125" style="9"/>
    <col min="13313" max="13313" width="7.7109375" style="9" customWidth="1"/>
    <col min="13314" max="13314" width="54.7109375" style="9" customWidth="1"/>
    <col min="13315" max="13315" width="58.28515625" style="9" customWidth="1"/>
    <col min="13316" max="13316" width="12.5703125" style="9" bestFit="1" customWidth="1"/>
    <col min="13317" max="13317" width="12.5703125" style="9" customWidth="1"/>
    <col min="13318" max="13318" width="12.140625" style="9" customWidth="1"/>
    <col min="13319" max="13321" width="10.85546875" style="9" bestFit="1" customWidth="1"/>
    <col min="13322" max="13327" width="10.7109375" style="9" customWidth="1"/>
    <col min="13328" max="13328" width="11" style="9" customWidth="1"/>
    <col min="13329" max="13329" width="10.7109375" style="9" bestFit="1" customWidth="1"/>
    <col min="13330" max="13336" width="9.85546875" style="9" bestFit="1" customWidth="1"/>
    <col min="13337" max="13568" width="11.42578125" style="9"/>
    <col min="13569" max="13569" width="7.7109375" style="9" customWidth="1"/>
    <col min="13570" max="13570" width="54.7109375" style="9" customWidth="1"/>
    <col min="13571" max="13571" width="58.28515625" style="9" customWidth="1"/>
    <col min="13572" max="13572" width="12.5703125" style="9" bestFit="1" customWidth="1"/>
    <col min="13573" max="13573" width="12.5703125" style="9" customWidth="1"/>
    <col min="13574" max="13574" width="12.140625" style="9" customWidth="1"/>
    <col min="13575" max="13577" width="10.85546875" style="9" bestFit="1" customWidth="1"/>
    <col min="13578" max="13583" width="10.7109375" style="9" customWidth="1"/>
    <col min="13584" max="13584" width="11" style="9" customWidth="1"/>
    <col min="13585" max="13585" width="10.7109375" style="9" bestFit="1" customWidth="1"/>
    <col min="13586" max="13592" width="9.85546875" style="9" bestFit="1" customWidth="1"/>
    <col min="13593" max="13824" width="11.42578125" style="9"/>
    <col min="13825" max="13825" width="7.7109375" style="9" customWidth="1"/>
    <col min="13826" max="13826" width="54.7109375" style="9" customWidth="1"/>
    <col min="13827" max="13827" width="58.28515625" style="9" customWidth="1"/>
    <col min="13828" max="13828" width="12.5703125" style="9" bestFit="1" customWidth="1"/>
    <col min="13829" max="13829" width="12.5703125" style="9" customWidth="1"/>
    <col min="13830" max="13830" width="12.140625" style="9" customWidth="1"/>
    <col min="13831" max="13833" width="10.85546875" style="9" bestFit="1" customWidth="1"/>
    <col min="13834" max="13839" width="10.7109375" style="9" customWidth="1"/>
    <col min="13840" max="13840" width="11" style="9" customWidth="1"/>
    <col min="13841" max="13841" width="10.7109375" style="9" bestFit="1" customWidth="1"/>
    <col min="13842" max="13848" width="9.85546875" style="9" bestFit="1" customWidth="1"/>
    <col min="13849" max="14080" width="11.42578125" style="9"/>
    <col min="14081" max="14081" width="7.7109375" style="9" customWidth="1"/>
    <col min="14082" max="14082" width="54.7109375" style="9" customWidth="1"/>
    <col min="14083" max="14083" width="58.28515625" style="9" customWidth="1"/>
    <col min="14084" max="14084" width="12.5703125" style="9" bestFit="1" customWidth="1"/>
    <col min="14085" max="14085" width="12.5703125" style="9" customWidth="1"/>
    <col min="14086" max="14086" width="12.140625" style="9" customWidth="1"/>
    <col min="14087" max="14089" width="10.85546875" style="9" bestFit="1" customWidth="1"/>
    <col min="14090" max="14095" width="10.7109375" style="9" customWidth="1"/>
    <col min="14096" max="14096" width="11" style="9" customWidth="1"/>
    <col min="14097" max="14097" width="10.7109375" style="9" bestFit="1" customWidth="1"/>
    <col min="14098" max="14104" width="9.85546875" style="9" bestFit="1" customWidth="1"/>
    <col min="14105" max="14336" width="11.42578125" style="9"/>
    <col min="14337" max="14337" width="7.7109375" style="9" customWidth="1"/>
    <col min="14338" max="14338" width="54.7109375" style="9" customWidth="1"/>
    <col min="14339" max="14339" width="58.28515625" style="9" customWidth="1"/>
    <col min="14340" max="14340" width="12.5703125" style="9" bestFit="1" customWidth="1"/>
    <col min="14341" max="14341" width="12.5703125" style="9" customWidth="1"/>
    <col min="14342" max="14342" width="12.140625" style="9" customWidth="1"/>
    <col min="14343" max="14345" width="10.85546875" style="9" bestFit="1" customWidth="1"/>
    <col min="14346" max="14351" width="10.7109375" style="9" customWidth="1"/>
    <col min="14352" max="14352" width="11" style="9" customWidth="1"/>
    <col min="14353" max="14353" width="10.7109375" style="9" bestFit="1" customWidth="1"/>
    <col min="14354" max="14360" width="9.85546875" style="9" bestFit="1" customWidth="1"/>
    <col min="14361" max="14592" width="11.42578125" style="9"/>
    <col min="14593" max="14593" width="7.7109375" style="9" customWidth="1"/>
    <col min="14594" max="14594" width="54.7109375" style="9" customWidth="1"/>
    <col min="14595" max="14595" width="58.28515625" style="9" customWidth="1"/>
    <col min="14596" max="14596" width="12.5703125" style="9" bestFit="1" customWidth="1"/>
    <col min="14597" max="14597" width="12.5703125" style="9" customWidth="1"/>
    <col min="14598" max="14598" width="12.140625" style="9" customWidth="1"/>
    <col min="14599" max="14601" width="10.85546875" style="9" bestFit="1" customWidth="1"/>
    <col min="14602" max="14607" width="10.7109375" style="9" customWidth="1"/>
    <col min="14608" max="14608" width="11" style="9" customWidth="1"/>
    <col min="14609" max="14609" width="10.7109375" style="9" bestFit="1" customWidth="1"/>
    <col min="14610" max="14616" width="9.85546875" style="9" bestFit="1" customWidth="1"/>
    <col min="14617" max="14848" width="11.42578125" style="9"/>
    <col min="14849" max="14849" width="7.7109375" style="9" customWidth="1"/>
    <col min="14850" max="14850" width="54.7109375" style="9" customWidth="1"/>
    <col min="14851" max="14851" width="58.28515625" style="9" customWidth="1"/>
    <col min="14852" max="14852" width="12.5703125" style="9" bestFit="1" customWidth="1"/>
    <col min="14853" max="14853" width="12.5703125" style="9" customWidth="1"/>
    <col min="14854" max="14854" width="12.140625" style="9" customWidth="1"/>
    <col min="14855" max="14857" width="10.85546875" style="9" bestFit="1" customWidth="1"/>
    <col min="14858" max="14863" width="10.7109375" style="9" customWidth="1"/>
    <col min="14864" max="14864" width="11" style="9" customWidth="1"/>
    <col min="14865" max="14865" width="10.7109375" style="9" bestFit="1" customWidth="1"/>
    <col min="14866" max="14872" width="9.85546875" style="9" bestFit="1" customWidth="1"/>
    <col min="14873" max="15104" width="11.42578125" style="9"/>
    <col min="15105" max="15105" width="7.7109375" style="9" customWidth="1"/>
    <col min="15106" max="15106" width="54.7109375" style="9" customWidth="1"/>
    <col min="15107" max="15107" width="58.28515625" style="9" customWidth="1"/>
    <col min="15108" max="15108" width="12.5703125" style="9" bestFit="1" customWidth="1"/>
    <col min="15109" max="15109" width="12.5703125" style="9" customWidth="1"/>
    <col min="15110" max="15110" width="12.140625" style="9" customWidth="1"/>
    <col min="15111" max="15113" width="10.85546875" style="9" bestFit="1" customWidth="1"/>
    <col min="15114" max="15119" width="10.7109375" style="9" customWidth="1"/>
    <col min="15120" max="15120" width="11" style="9" customWidth="1"/>
    <col min="15121" max="15121" width="10.7109375" style="9" bestFit="1" customWidth="1"/>
    <col min="15122" max="15128" width="9.85546875" style="9" bestFit="1" customWidth="1"/>
    <col min="15129" max="15360" width="11.42578125" style="9"/>
    <col min="15361" max="15361" width="7.7109375" style="9" customWidth="1"/>
    <col min="15362" max="15362" width="54.7109375" style="9" customWidth="1"/>
    <col min="15363" max="15363" width="58.28515625" style="9" customWidth="1"/>
    <col min="15364" max="15364" width="12.5703125" style="9" bestFit="1" customWidth="1"/>
    <col min="15365" max="15365" width="12.5703125" style="9" customWidth="1"/>
    <col min="15366" max="15366" width="12.140625" style="9" customWidth="1"/>
    <col min="15367" max="15369" width="10.85546875" style="9" bestFit="1" customWidth="1"/>
    <col min="15370" max="15375" width="10.7109375" style="9" customWidth="1"/>
    <col min="15376" max="15376" width="11" style="9" customWidth="1"/>
    <col min="15377" max="15377" width="10.7109375" style="9" bestFit="1" customWidth="1"/>
    <col min="15378" max="15384" width="9.85546875" style="9" bestFit="1" customWidth="1"/>
    <col min="15385" max="15616" width="11.42578125" style="9"/>
    <col min="15617" max="15617" width="7.7109375" style="9" customWidth="1"/>
    <col min="15618" max="15618" width="54.7109375" style="9" customWidth="1"/>
    <col min="15619" max="15619" width="58.28515625" style="9" customWidth="1"/>
    <col min="15620" max="15620" width="12.5703125" style="9" bestFit="1" customWidth="1"/>
    <col min="15621" max="15621" width="12.5703125" style="9" customWidth="1"/>
    <col min="15622" max="15622" width="12.140625" style="9" customWidth="1"/>
    <col min="15623" max="15625" width="10.85546875" style="9" bestFit="1" customWidth="1"/>
    <col min="15626" max="15631" width="10.7109375" style="9" customWidth="1"/>
    <col min="15632" max="15632" width="11" style="9" customWidth="1"/>
    <col min="15633" max="15633" width="10.7109375" style="9" bestFit="1" customWidth="1"/>
    <col min="15634" max="15640" width="9.85546875" style="9" bestFit="1" customWidth="1"/>
    <col min="15641" max="15872" width="11.42578125" style="9"/>
    <col min="15873" max="15873" width="7.7109375" style="9" customWidth="1"/>
    <col min="15874" max="15874" width="54.7109375" style="9" customWidth="1"/>
    <col min="15875" max="15875" width="58.28515625" style="9" customWidth="1"/>
    <col min="15876" max="15876" width="12.5703125" style="9" bestFit="1" customWidth="1"/>
    <col min="15877" max="15877" width="12.5703125" style="9" customWidth="1"/>
    <col min="15878" max="15878" width="12.140625" style="9" customWidth="1"/>
    <col min="15879" max="15881" width="10.85546875" style="9" bestFit="1" customWidth="1"/>
    <col min="15882" max="15887" width="10.7109375" style="9" customWidth="1"/>
    <col min="15888" max="15888" width="11" style="9" customWidth="1"/>
    <col min="15889" max="15889" width="10.7109375" style="9" bestFit="1" customWidth="1"/>
    <col min="15890" max="15896" width="9.85546875" style="9" bestFit="1" customWidth="1"/>
    <col min="15897" max="16128" width="11.42578125" style="9"/>
    <col min="16129" max="16129" width="7.7109375" style="9" customWidth="1"/>
    <col min="16130" max="16130" width="54.7109375" style="9" customWidth="1"/>
    <col min="16131" max="16131" width="58.28515625" style="9" customWidth="1"/>
    <col min="16132" max="16132" width="12.5703125" style="9" bestFit="1" customWidth="1"/>
    <col min="16133" max="16133" width="12.5703125" style="9" customWidth="1"/>
    <col min="16134" max="16134" width="12.140625" style="9" customWidth="1"/>
    <col min="16135" max="16137" width="10.85546875" style="9" bestFit="1" customWidth="1"/>
    <col min="16138" max="16143" width="10.7109375" style="9" customWidth="1"/>
    <col min="16144" max="16144" width="11" style="9" customWidth="1"/>
    <col min="16145" max="16145" width="10.7109375" style="9" bestFit="1" customWidth="1"/>
    <col min="16146" max="16152" width="9.85546875" style="9" bestFit="1" customWidth="1"/>
    <col min="16153" max="16384" width="11.42578125" style="9"/>
  </cols>
  <sheetData>
    <row r="1" spans="1:28" ht="20.25" x14ac:dyDescent="0.3">
      <c r="A1" s="7" t="s">
        <v>323</v>
      </c>
    </row>
    <row r="2" spans="1:28" ht="20.25" x14ac:dyDescent="0.3">
      <c r="A2" s="7"/>
      <c r="B2" s="7" t="s">
        <v>237</v>
      </c>
    </row>
    <row r="3" spans="1:28" ht="16.5" thickBot="1" x14ac:dyDescent="0.3">
      <c r="A3" s="10" t="s">
        <v>238</v>
      </c>
      <c r="B3" s="10"/>
      <c r="C3" s="10"/>
      <c r="D3" s="10"/>
      <c r="E3" s="3"/>
      <c r="F3" s="11"/>
      <c r="G3" s="12"/>
      <c r="H3" s="13"/>
      <c r="I3" s="9"/>
      <c r="J3" s="9"/>
      <c r="K3" s="9"/>
      <c r="L3" s="9"/>
      <c r="M3" s="9"/>
      <c r="N3" s="9"/>
      <c r="O3" s="9"/>
    </row>
    <row r="4" spans="1:28" x14ac:dyDescent="0.25">
      <c r="A4" s="14"/>
      <c r="B4" s="15"/>
      <c r="C4" s="15"/>
      <c r="D4" s="16">
        <v>0</v>
      </c>
      <c r="E4" s="16">
        <v>1</v>
      </c>
      <c r="F4" s="16">
        <v>2</v>
      </c>
      <c r="G4" s="16">
        <v>3</v>
      </c>
      <c r="H4" s="16">
        <v>4</v>
      </c>
      <c r="I4" s="16">
        <v>5</v>
      </c>
      <c r="J4" s="16">
        <v>6</v>
      </c>
      <c r="K4" s="16">
        <v>7</v>
      </c>
      <c r="L4" s="16">
        <v>8</v>
      </c>
      <c r="M4" s="16">
        <v>9</v>
      </c>
      <c r="N4" s="16">
        <v>10</v>
      </c>
      <c r="O4" s="16">
        <v>11</v>
      </c>
      <c r="P4" s="16">
        <v>12</v>
      </c>
      <c r="Q4" s="16">
        <v>13</v>
      </c>
      <c r="R4" s="16">
        <v>14</v>
      </c>
      <c r="S4" s="16">
        <v>15</v>
      </c>
      <c r="T4" s="16">
        <v>16</v>
      </c>
      <c r="U4" s="16">
        <v>17</v>
      </c>
      <c r="V4" s="16">
        <v>18</v>
      </c>
      <c r="W4" s="16">
        <v>19</v>
      </c>
      <c r="X4" s="16">
        <v>20</v>
      </c>
      <c r="Y4" s="16">
        <v>21</v>
      </c>
      <c r="Z4" s="16">
        <v>22</v>
      </c>
      <c r="AA4" s="16">
        <v>23</v>
      </c>
      <c r="AB4" s="16">
        <v>24</v>
      </c>
    </row>
    <row r="5" spans="1:28" x14ac:dyDescent="0.25">
      <c r="A5" s="17"/>
      <c r="B5" s="18"/>
      <c r="C5" s="18"/>
      <c r="D5" s="19"/>
      <c r="E5" s="19"/>
      <c r="F5" s="19"/>
      <c r="G5" s="19"/>
      <c r="H5" s="20"/>
      <c r="I5" s="19"/>
      <c r="J5" s="21"/>
      <c r="K5" s="21"/>
      <c r="L5" s="21"/>
      <c r="M5" s="21"/>
      <c r="N5" s="21"/>
      <c r="O5" s="19"/>
      <c r="P5" s="19"/>
      <c r="Q5" s="19"/>
      <c r="R5" s="20"/>
      <c r="S5" s="19"/>
      <c r="T5" s="21"/>
      <c r="U5" s="21"/>
      <c r="V5" s="21"/>
      <c r="W5" s="21"/>
      <c r="X5" s="21"/>
      <c r="Y5" s="21"/>
      <c r="Z5" s="21"/>
      <c r="AA5" s="21"/>
      <c r="AB5" s="21"/>
    </row>
    <row r="6" spans="1:28" x14ac:dyDescent="0.25">
      <c r="A6" s="22" t="s">
        <v>239</v>
      </c>
      <c r="B6" s="23"/>
      <c r="C6" s="23"/>
      <c r="D6" s="24"/>
      <c r="E6" s="24"/>
      <c r="F6" s="24"/>
      <c r="G6" s="24"/>
      <c r="H6" s="25"/>
      <c r="I6" s="24"/>
      <c r="J6" s="26"/>
      <c r="K6" s="26"/>
      <c r="L6" s="26"/>
      <c r="M6" s="26"/>
      <c r="N6" s="26"/>
      <c r="O6" s="24"/>
      <c r="P6" s="24"/>
      <c r="Q6" s="24"/>
      <c r="R6" s="25"/>
      <c r="S6" s="24"/>
      <c r="T6" s="26"/>
      <c r="U6" s="26"/>
      <c r="V6" s="26"/>
      <c r="W6" s="26"/>
      <c r="X6" s="26"/>
      <c r="Y6" s="26"/>
      <c r="Z6" s="26"/>
      <c r="AA6" s="26"/>
      <c r="AB6" s="26"/>
    </row>
    <row r="7" spans="1:28" x14ac:dyDescent="0.25">
      <c r="A7" s="27" t="s">
        <v>240</v>
      </c>
      <c r="B7" s="28"/>
      <c r="C7" s="28"/>
      <c r="D7" s="29">
        <v>500</v>
      </c>
      <c r="E7" s="29">
        <f>+D7+50</f>
        <v>550</v>
      </c>
      <c r="F7" s="29">
        <f t="shared" ref="F7:N7" si="0">+E7+50</f>
        <v>600</v>
      </c>
      <c r="G7" s="29">
        <f t="shared" si="0"/>
        <v>650</v>
      </c>
      <c r="H7" s="29">
        <f t="shared" si="0"/>
        <v>700</v>
      </c>
      <c r="I7" s="29">
        <f t="shared" si="0"/>
        <v>750</v>
      </c>
      <c r="J7" s="29">
        <f t="shared" si="0"/>
        <v>800</v>
      </c>
      <c r="K7" s="29">
        <f t="shared" si="0"/>
        <v>850</v>
      </c>
      <c r="L7" s="29">
        <f t="shared" si="0"/>
        <v>900</v>
      </c>
      <c r="M7" s="29">
        <f t="shared" si="0"/>
        <v>950</v>
      </c>
      <c r="N7" s="29">
        <f t="shared" si="0"/>
        <v>1000</v>
      </c>
      <c r="O7" s="29">
        <f t="shared" ref="O7:AB7" si="1">+N7*(1+O29)</f>
        <v>1010</v>
      </c>
      <c r="P7" s="29">
        <f t="shared" si="1"/>
        <v>1020.1</v>
      </c>
      <c r="Q7" s="29">
        <f t="shared" si="1"/>
        <v>1030.3009999999999</v>
      </c>
      <c r="R7" s="29">
        <f t="shared" si="1"/>
        <v>1040.60401</v>
      </c>
      <c r="S7" s="29">
        <f t="shared" si="1"/>
        <v>1051.0100500999999</v>
      </c>
      <c r="T7" s="29">
        <f t="shared" si="1"/>
        <v>1061.5201506009998</v>
      </c>
      <c r="U7" s="29">
        <f t="shared" si="1"/>
        <v>1072.1353521070098</v>
      </c>
      <c r="V7" s="29">
        <f t="shared" si="1"/>
        <v>1082.8567056280799</v>
      </c>
      <c r="W7" s="29">
        <f t="shared" si="1"/>
        <v>1093.6852726843608</v>
      </c>
      <c r="X7" s="29">
        <f t="shared" si="1"/>
        <v>1104.6221254112045</v>
      </c>
      <c r="Y7" s="29">
        <f t="shared" si="1"/>
        <v>1115.6683466653164</v>
      </c>
      <c r="Z7" s="29">
        <f t="shared" si="1"/>
        <v>1126.8250301319697</v>
      </c>
      <c r="AA7" s="29">
        <f t="shared" si="1"/>
        <v>1138.0932804332895</v>
      </c>
      <c r="AB7" s="29">
        <f t="shared" si="1"/>
        <v>1149.4742132376223</v>
      </c>
    </row>
    <row r="8" spans="1:28" x14ac:dyDescent="0.25">
      <c r="A8" s="30" t="s">
        <v>241</v>
      </c>
      <c r="B8" s="31"/>
      <c r="C8" s="31"/>
      <c r="D8" s="32">
        <v>1300</v>
      </c>
      <c r="E8" s="32">
        <v>1500</v>
      </c>
      <c r="F8" s="32">
        <v>1700</v>
      </c>
      <c r="G8" s="32">
        <v>1900</v>
      </c>
      <c r="H8" s="32">
        <v>2300</v>
      </c>
      <c r="I8" s="32">
        <v>2900</v>
      </c>
      <c r="J8" s="32">
        <v>3200</v>
      </c>
      <c r="K8" s="32">
        <v>3300</v>
      </c>
      <c r="L8" s="32">
        <v>3500</v>
      </c>
      <c r="M8" s="32">
        <v>3800</v>
      </c>
      <c r="N8" s="32">
        <v>4000</v>
      </c>
      <c r="O8" s="32">
        <f>+N8+O21</f>
        <v>4306.03</v>
      </c>
      <c r="P8" s="32">
        <f t="shared" ref="P8:AB8" si="2">+O8+P21</f>
        <v>4615.1202999999996</v>
      </c>
      <c r="Q8" s="32">
        <f t="shared" si="2"/>
        <v>4927.3015029999997</v>
      </c>
      <c r="R8" s="32">
        <f t="shared" si="2"/>
        <v>5242.6045180299998</v>
      </c>
      <c r="S8" s="32">
        <f t="shared" si="2"/>
        <v>5561.0605632102997</v>
      </c>
      <c r="T8" s="32">
        <f t="shared" si="2"/>
        <v>5882.7011688424027</v>
      </c>
      <c r="U8" s="32">
        <f t="shared" si="2"/>
        <v>6207.5581805308266</v>
      </c>
      <c r="V8" s="32">
        <f t="shared" si="2"/>
        <v>6535.6637623361348</v>
      </c>
      <c r="W8" s="32">
        <f t="shared" si="2"/>
        <v>6867.0503999594966</v>
      </c>
      <c r="X8" s="32">
        <f t="shared" si="2"/>
        <v>7201.7509039590914</v>
      </c>
      <c r="Y8" s="32">
        <f t="shared" si="2"/>
        <v>7539.7984129986826</v>
      </c>
      <c r="Z8" s="32">
        <f t="shared" si="2"/>
        <v>7881.2263971286693</v>
      </c>
      <c r="AA8" s="32">
        <f t="shared" si="2"/>
        <v>8226.0686610999564</v>
      </c>
      <c r="AB8" s="32">
        <f t="shared" si="2"/>
        <v>8574.3593477109553</v>
      </c>
    </row>
    <row r="9" spans="1:28" x14ac:dyDescent="0.25">
      <c r="A9" s="33" t="s">
        <v>242</v>
      </c>
      <c r="B9" s="34"/>
      <c r="C9" s="34"/>
      <c r="D9" s="35">
        <v>-200</v>
      </c>
      <c r="E9" s="35">
        <f t="shared" ref="E9:X9" si="3">-E21+D9</f>
        <v>-400</v>
      </c>
      <c r="F9" s="35">
        <f t="shared" si="3"/>
        <v>-700</v>
      </c>
      <c r="G9" s="35">
        <f t="shared" si="3"/>
        <v>-1020</v>
      </c>
      <c r="H9" s="35">
        <f t="shared" si="3"/>
        <v>-1370</v>
      </c>
      <c r="I9" s="35">
        <f t="shared" si="3"/>
        <v>-1770</v>
      </c>
      <c r="J9" s="35">
        <f t="shared" si="3"/>
        <v>-2090</v>
      </c>
      <c r="K9" s="35">
        <f t="shared" si="3"/>
        <v>-2410</v>
      </c>
      <c r="L9" s="35">
        <f t="shared" si="3"/>
        <v>-2710</v>
      </c>
      <c r="M9" s="35">
        <f t="shared" si="3"/>
        <v>-3010</v>
      </c>
      <c r="N9" s="35">
        <f t="shared" si="3"/>
        <v>-3313</v>
      </c>
      <c r="O9" s="35">
        <f t="shared" si="3"/>
        <v>-3619.03</v>
      </c>
      <c r="P9" s="35">
        <f t="shared" si="3"/>
        <v>-3928.1203</v>
      </c>
      <c r="Q9" s="35">
        <f t="shared" si="3"/>
        <v>-4240.3015029999997</v>
      </c>
      <c r="R9" s="35">
        <f t="shared" si="3"/>
        <v>-4555.6045180299998</v>
      </c>
      <c r="S9" s="35">
        <f t="shared" si="3"/>
        <v>-4874.0605632102997</v>
      </c>
      <c r="T9" s="35">
        <f t="shared" si="3"/>
        <v>-5195.7011688424027</v>
      </c>
      <c r="U9" s="35">
        <f t="shared" si="3"/>
        <v>-5520.5581805308266</v>
      </c>
      <c r="V9" s="35">
        <f t="shared" si="3"/>
        <v>-5848.6637623361348</v>
      </c>
      <c r="W9" s="35">
        <f t="shared" si="3"/>
        <v>-6180.0503999594966</v>
      </c>
      <c r="X9" s="35">
        <f t="shared" si="3"/>
        <v>-6514.7509039590914</v>
      </c>
      <c r="Y9" s="35">
        <f>-Y21+X9</f>
        <v>-6852.7984129986826</v>
      </c>
      <c r="Z9" s="35">
        <f>-Z21+Y9</f>
        <v>-7194.2263971286693</v>
      </c>
      <c r="AA9" s="35">
        <f>-AA21+Z9</f>
        <v>-7539.0686610999564</v>
      </c>
      <c r="AB9" s="35">
        <f>-AB21+AA9</f>
        <v>-7887.3593477109562</v>
      </c>
    </row>
    <row r="10" spans="1:28" x14ac:dyDescent="0.25">
      <c r="A10" s="36" t="s">
        <v>243</v>
      </c>
      <c r="B10" s="37"/>
      <c r="C10" s="37"/>
      <c r="D10" s="38">
        <f t="shared" ref="D10:X10" si="4">D8+D9</f>
        <v>1100</v>
      </c>
      <c r="E10" s="38">
        <f t="shared" si="4"/>
        <v>1100</v>
      </c>
      <c r="F10" s="38">
        <f t="shared" si="4"/>
        <v>1000</v>
      </c>
      <c r="G10" s="38">
        <f t="shared" si="4"/>
        <v>880</v>
      </c>
      <c r="H10" s="38">
        <f t="shared" si="4"/>
        <v>930</v>
      </c>
      <c r="I10" s="38">
        <f t="shared" si="4"/>
        <v>1130</v>
      </c>
      <c r="J10" s="38">
        <f t="shared" si="4"/>
        <v>1110</v>
      </c>
      <c r="K10" s="38">
        <f t="shared" si="4"/>
        <v>890</v>
      </c>
      <c r="L10" s="38">
        <f t="shared" si="4"/>
        <v>790</v>
      </c>
      <c r="M10" s="38">
        <f t="shared" si="4"/>
        <v>790</v>
      </c>
      <c r="N10" s="38">
        <f t="shared" si="4"/>
        <v>687</v>
      </c>
      <c r="O10" s="38">
        <f t="shared" si="4"/>
        <v>686.99999999999955</v>
      </c>
      <c r="P10" s="38">
        <f t="shared" si="4"/>
        <v>686.99999999999955</v>
      </c>
      <c r="Q10" s="38">
        <f t="shared" si="4"/>
        <v>687</v>
      </c>
      <c r="R10" s="38">
        <f t="shared" si="4"/>
        <v>687</v>
      </c>
      <c r="S10" s="38">
        <f t="shared" si="4"/>
        <v>687</v>
      </c>
      <c r="T10" s="38">
        <f t="shared" si="4"/>
        <v>687</v>
      </c>
      <c r="U10" s="38">
        <f t="shared" si="4"/>
        <v>687</v>
      </c>
      <c r="V10" s="38">
        <f t="shared" si="4"/>
        <v>687</v>
      </c>
      <c r="W10" s="38">
        <f t="shared" si="4"/>
        <v>687</v>
      </c>
      <c r="X10" s="38">
        <f t="shared" si="4"/>
        <v>687</v>
      </c>
      <c r="Y10" s="38">
        <f>Y8+Y9</f>
        <v>687</v>
      </c>
      <c r="Z10" s="38">
        <f>Z8+Z9</f>
        <v>687</v>
      </c>
      <c r="AA10" s="38">
        <f>AA8+AA9</f>
        <v>687</v>
      </c>
      <c r="AB10" s="38">
        <f>AB8+AB9</f>
        <v>686.99999999999909</v>
      </c>
    </row>
    <row r="11" spans="1:28" x14ac:dyDescent="0.25">
      <c r="A11" s="39" t="s">
        <v>244</v>
      </c>
      <c r="B11" s="40"/>
      <c r="C11" s="40"/>
      <c r="D11" s="41">
        <f>+D7+D10+D6</f>
        <v>1600</v>
      </c>
      <c r="E11" s="41">
        <f t="shared" ref="E11:X11" si="5">+E7+E10</f>
        <v>1650</v>
      </c>
      <c r="F11" s="41">
        <f t="shared" si="5"/>
        <v>1600</v>
      </c>
      <c r="G11" s="41">
        <f t="shared" si="5"/>
        <v>1530</v>
      </c>
      <c r="H11" s="41">
        <f t="shared" si="5"/>
        <v>1630</v>
      </c>
      <c r="I11" s="41">
        <f t="shared" si="5"/>
        <v>1880</v>
      </c>
      <c r="J11" s="41">
        <f t="shared" si="5"/>
        <v>1910</v>
      </c>
      <c r="K11" s="41">
        <f t="shared" si="5"/>
        <v>1740</v>
      </c>
      <c r="L11" s="41">
        <f t="shared" si="5"/>
        <v>1690</v>
      </c>
      <c r="M11" s="41">
        <f t="shared" si="5"/>
        <v>1740</v>
      </c>
      <c r="N11" s="41">
        <f t="shared" si="5"/>
        <v>1687</v>
      </c>
      <c r="O11" s="41">
        <f t="shared" si="5"/>
        <v>1696.9999999999995</v>
      </c>
      <c r="P11" s="41">
        <f t="shared" si="5"/>
        <v>1707.0999999999995</v>
      </c>
      <c r="Q11" s="41">
        <f t="shared" si="5"/>
        <v>1717.3009999999999</v>
      </c>
      <c r="R11" s="41">
        <f t="shared" si="5"/>
        <v>1727.60401</v>
      </c>
      <c r="S11" s="41">
        <f t="shared" si="5"/>
        <v>1738.0100500999999</v>
      </c>
      <c r="T11" s="41">
        <f t="shared" si="5"/>
        <v>1748.5201506009998</v>
      </c>
      <c r="U11" s="41">
        <f t="shared" si="5"/>
        <v>1759.1353521070098</v>
      </c>
      <c r="V11" s="41">
        <f t="shared" si="5"/>
        <v>1769.8567056280799</v>
      </c>
      <c r="W11" s="41">
        <f t="shared" si="5"/>
        <v>1780.6852726843608</v>
      </c>
      <c r="X11" s="41">
        <f t="shared" si="5"/>
        <v>1791.6221254112045</v>
      </c>
      <c r="Y11" s="41">
        <f>+Y7+Y10</f>
        <v>1802.6683466653164</v>
      </c>
      <c r="Z11" s="41">
        <f>+Z7+Z10</f>
        <v>1813.8250301319697</v>
      </c>
      <c r="AA11" s="41">
        <f>+AA7+AA10</f>
        <v>1825.0932804332895</v>
      </c>
      <c r="AB11" s="41">
        <f>+AB7+AB10</f>
        <v>1836.4742132376214</v>
      </c>
    </row>
    <row r="12" spans="1:28" x14ac:dyDescent="0.25">
      <c r="A12" s="42"/>
      <c r="B12" s="43"/>
      <c r="C12" s="43"/>
      <c r="D12" s="44"/>
      <c r="E12" s="44"/>
      <c r="F12" s="44"/>
      <c r="G12" s="44"/>
      <c r="H12" s="44"/>
      <c r="I12" s="45"/>
      <c r="J12" s="45"/>
      <c r="K12" s="45"/>
      <c r="L12" s="45"/>
      <c r="M12" s="45"/>
      <c r="N12" s="45"/>
      <c r="O12" s="44"/>
      <c r="P12" s="44"/>
      <c r="Q12" s="44"/>
      <c r="R12" s="44"/>
      <c r="S12" s="45"/>
      <c r="T12" s="45"/>
      <c r="U12" s="45"/>
      <c r="V12" s="45"/>
      <c r="W12" s="45"/>
      <c r="X12" s="45"/>
      <c r="Y12" s="45"/>
      <c r="Z12" s="45"/>
      <c r="AA12" s="45"/>
      <c r="AB12" s="45"/>
    </row>
    <row r="13" spans="1:28" x14ac:dyDescent="0.25">
      <c r="A13" s="46"/>
      <c r="B13" s="47"/>
      <c r="C13" s="47"/>
      <c r="D13" s="48"/>
      <c r="E13" s="48"/>
      <c r="F13" s="48"/>
      <c r="G13" s="48"/>
      <c r="H13" s="48"/>
      <c r="I13" s="49"/>
      <c r="J13" s="50"/>
      <c r="K13" s="50"/>
      <c r="L13" s="50"/>
      <c r="M13" s="50"/>
      <c r="N13" s="50"/>
      <c r="O13" s="48"/>
      <c r="P13" s="48"/>
      <c r="Q13" s="48"/>
      <c r="R13" s="48"/>
      <c r="S13" s="49"/>
      <c r="T13" s="50"/>
      <c r="U13" s="50"/>
      <c r="V13" s="50"/>
      <c r="W13" s="50"/>
      <c r="X13" s="50"/>
      <c r="Y13" s="50"/>
      <c r="Z13" s="50"/>
      <c r="AA13" s="50"/>
      <c r="AB13" s="50"/>
    </row>
    <row r="14" spans="1:28" x14ac:dyDescent="0.25">
      <c r="A14" s="51" t="s">
        <v>245</v>
      </c>
      <c r="B14" s="52"/>
      <c r="C14" s="52"/>
      <c r="D14" s="53">
        <v>700</v>
      </c>
      <c r="E14" s="53">
        <f>+E11-E15</f>
        <v>750</v>
      </c>
      <c r="F14" s="53">
        <f t="shared" ref="F14:AB14" si="6">+F11-F15</f>
        <v>700</v>
      </c>
      <c r="G14" s="53">
        <f t="shared" si="6"/>
        <v>630</v>
      </c>
      <c r="H14" s="53">
        <f t="shared" si="6"/>
        <v>730</v>
      </c>
      <c r="I14" s="53">
        <f t="shared" si="6"/>
        <v>980</v>
      </c>
      <c r="J14" s="53">
        <f t="shared" si="6"/>
        <v>1010</v>
      </c>
      <c r="K14" s="53">
        <f t="shared" si="6"/>
        <v>840</v>
      </c>
      <c r="L14" s="53">
        <f t="shared" si="6"/>
        <v>790</v>
      </c>
      <c r="M14" s="53">
        <f t="shared" si="6"/>
        <v>840</v>
      </c>
      <c r="N14" s="53">
        <f t="shared" si="6"/>
        <v>787</v>
      </c>
      <c r="O14" s="53">
        <f t="shared" si="6"/>
        <v>796.99999999999955</v>
      </c>
      <c r="P14" s="53">
        <f t="shared" si="6"/>
        <v>807.09999999999945</v>
      </c>
      <c r="Q14" s="53">
        <f t="shared" si="6"/>
        <v>817.30099999999993</v>
      </c>
      <c r="R14" s="53">
        <f t="shared" si="6"/>
        <v>827.60401000000002</v>
      </c>
      <c r="S14" s="53">
        <f t="shared" si="6"/>
        <v>838.01005009999994</v>
      </c>
      <c r="T14" s="53">
        <f t="shared" si="6"/>
        <v>848.52015060099984</v>
      </c>
      <c r="U14" s="53">
        <f t="shared" si="6"/>
        <v>859.13535210700979</v>
      </c>
      <c r="V14" s="53">
        <f t="shared" si="6"/>
        <v>869.85670562807991</v>
      </c>
      <c r="W14" s="53">
        <f t="shared" si="6"/>
        <v>880.68527268436083</v>
      </c>
      <c r="X14" s="53">
        <f t="shared" si="6"/>
        <v>891.62212541120448</v>
      </c>
      <c r="Y14" s="53">
        <f t="shared" si="6"/>
        <v>902.66834666531645</v>
      </c>
      <c r="Z14" s="53">
        <f t="shared" si="6"/>
        <v>913.8250301319697</v>
      </c>
      <c r="AA14" s="53">
        <f t="shared" si="6"/>
        <v>925.09328043328946</v>
      </c>
      <c r="AB14" s="53">
        <f t="shared" si="6"/>
        <v>936.47421323762137</v>
      </c>
    </row>
    <row r="15" spans="1:28" x14ac:dyDescent="0.25">
      <c r="A15" s="51" t="s">
        <v>246</v>
      </c>
      <c r="B15" s="52"/>
      <c r="C15" s="52"/>
      <c r="D15" s="35">
        <f>+D11-D14</f>
        <v>900</v>
      </c>
      <c r="E15" s="35">
        <f>+D15</f>
        <v>900</v>
      </c>
      <c r="F15" s="35">
        <f t="shared" ref="F15:AB15" si="7">+E15</f>
        <v>900</v>
      </c>
      <c r="G15" s="35">
        <f t="shared" si="7"/>
        <v>900</v>
      </c>
      <c r="H15" s="35">
        <f t="shared" si="7"/>
        <v>900</v>
      </c>
      <c r="I15" s="35">
        <f t="shared" si="7"/>
        <v>900</v>
      </c>
      <c r="J15" s="35">
        <f t="shared" si="7"/>
        <v>900</v>
      </c>
      <c r="K15" s="35">
        <f t="shared" si="7"/>
        <v>900</v>
      </c>
      <c r="L15" s="35">
        <f t="shared" si="7"/>
        <v>900</v>
      </c>
      <c r="M15" s="35">
        <f t="shared" si="7"/>
        <v>900</v>
      </c>
      <c r="N15" s="35">
        <f t="shared" si="7"/>
        <v>900</v>
      </c>
      <c r="O15" s="35">
        <f t="shared" si="7"/>
        <v>900</v>
      </c>
      <c r="P15" s="35">
        <f t="shared" si="7"/>
        <v>900</v>
      </c>
      <c r="Q15" s="35">
        <f t="shared" si="7"/>
        <v>900</v>
      </c>
      <c r="R15" s="35">
        <f t="shared" si="7"/>
        <v>900</v>
      </c>
      <c r="S15" s="35">
        <f t="shared" si="7"/>
        <v>900</v>
      </c>
      <c r="T15" s="35">
        <f t="shared" si="7"/>
        <v>900</v>
      </c>
      <c r="U15" s="35">
        <f t="shared" si="7"/>
        <v>900</v>
      </c>
      <c r="V15" s="35">
        <f t="shared" si="7"/>
        <v>900</v>
      </c>
      <c r="W15" s="35">
        <f t="shared" si="7"/>
        <v>900</v>
      </c>
      <c r="X15" s="35">
        <f t="shared" si="7"/>
        <v>900</v>
      </c>
      <c r="Y15" s="35">
        <f t="shared" si="7"/>
        <v>900</v>
      </c>
      <c r="Z15" s="35">
        <f t="shared" si="7"/>
        <v>900</v>
      </c>
      <c r="AA15" s="35">
        <f t="shared" si="7"/>
        <v>900</v>
      </c>
      <c r="AB15" s="35">
        <f t="shared" si="7"/>
        <v>900</v>
      </c>
    </row>
    <row r="16" spans="1:28" ht="16.5" thickBot="1" x14ac:dyDescent="0.3">
      <c r="A16" s="54" t="s">
        <v>247</v>
      </c>
      <c r="B16" s="55"/>
      <c r="C16" s="55"/>
      <c r="D16" s="56">
        <f t="shared" ref="D16:X16" si="8">D13+D14+D15</f>
        <v>1600</v>
      </c>
      <c r="E16" s="56">
        <f t="shared" si="8"/>
        <v>1650</v>
      </c>
      <c r="F16" s="56">
        <f t="shared" si="8"/>
        <v>1600</v>
      </c>
      <c r="G16" s="56">
        <f t="shared" si="8"/>
        <v>1530</v>
      </c>
      <c r="H16" s="56">
        <f t="shared" si="8"/>
        <v>1630</v>
      </c>
      <c r="I16" s="56">
        <f t="shared" si="8"/>
        <v>1880</v>
      </c>
      <c r="J16" s="56">
        <f t="shared" si="8"/>
        <v>1910</v>
      </c>
      <c r="K16" s="56">
        <f t="shared" si="8"/>
        <v>1740</v>
      </c>
      <c r="L16" s="56">
        <f t="shared" si="8"/>
        <v>1690</v>
      </c>
      <c r="M16" s="56">
        <f t="shared" si="8"/>
        <v>1740</v>
      </c>
      <c r="N16" s="56">
        <f t="shared" si="8"/>
        <v>1687</v>
      </c>
      <c r="O16" s="56">
        <f t="shared" si="8"/>
        <v>1696.9999999999995</v>
      </c>
      <c r="P16" s="56">
        <f t="shared" si="8"/>
        <v>1707.0999999999995</v>
      </c>
      <c r="Q16" s="56">
        <f t="shared" si="8"/>
        <v>1717.3009999999999</v>
      </c>
      <c r="R16" s="56">
        <f t="shared" si="8"/>
        <v>1727.60401</v>
      </c>
      <c r="S16" s="56">
        <f t="shared" si="8"/>
        <v>1738.0100500999999</v>
      </c>
      <c r="T16" s="56">
        <f t="shared" si="8"/>
        <v>1748.5201506009998</v>
      </c>
      <c r="U16" s="56">
        <f t="shared" si="8"/>
        <v>1759.1353521070098</v>
      </c>
      <c r="V16" s="56">
        <f t="shared" si="8"/>
        <v>1769.8567056280799</v>
      </c>
      <c r="W16" s="56">
        <f t="shared" si="8"/>
        <v>1780.6852726843608</v>
      </c>
      <c r="X16" s="56">
        <f t="shared" si="8"/>
        <v>1791.6221254112045</v>
      </c>
      <c r="Y16" s="56">
        <f>Y13+Y14+Y15</f>
        <v>1802.6683466653164</v>
      </c>
      <c r="Z16" s="56">
        <f>Z13+Z14+Z15</f>
        <v>1813.8250301319697</v>
      </c>
      <c r="AA16" s="56">
        <f>AA13+AA14+AA15</f>
        <v>1825.0932804332895</v>
      </c>
      <c r="AB16" s="56">
        <f>AB13+AB14+AB15</f>
        <v>1836.4742132376214</v>
      </c>
    </row>
    <row r="17" spans="1:28" ht="16.5" thickBot="1" x14ac:dyDescent="0.3">
      <c r="A17" s="43"/>
      <c r="B17" s="13"/>
      <c r="C17" s="13"/>
      <c r="D17" s="21"/>
      <c r="E17" s="57"/>
      <c r="F17" s="57"/>
      <c r="G17" s="57"/>
      <c r="H17" s="57"/>
      <c r="I17" s="9"/>
      <c r="J17" s="9"/>
      <c r="K17" s="9"/>
      <c r="L17" s="9"/>
      <c r="M17" s="9"/>
      <c r="N17" s="9"/>
      <c r="O17" s="57"/>
      <c r="P17" s="57"/>
      <c r="Q17" s="57"/>
      <c r="R17" s="57"/>
    </row>
    <row r="18" spans="1:28" x14ac:dyDescent="0.25">
      <c r="A18" s="58" t="s">
        <v>248</v>
      </c>
      <c r="B18" s="59"/>
      <c r="C18" s="59"/>
      <c r="D18" s="60"/>
      <c r="E18" s="60"/>
      <c r="F18" s="60"/>
      <c r="G18" s="60"/>
      <c r="H18" s="60"/>
      <c r="I18" s="61"/>
      <c r="J18" s="61"/>
      <c r="K18" s="61"/>
      <c r="L18" s="61"/>
      <c r="M18" s="61"/>
      <c r="N18" s="61"/>
      <c r="O18" s="60"/>
      <c r="P18" s="60"/>
      <c r="Q18" s="60"/>
      <c r="R18" s="60"/>
      <c r="S18" s="61"/>
      <c r="T18" s="61"/>
      <c r="U18" s="61"/>
      <c r="V18" s="61"/>
      <c r="W18" s="61"/>
      <c r="X18" s="61"/>
      <c r="Y18" s="61"/>
      <c r="Z18" s="61"/>
      <c r="AA18" s="61"/>
      <c r="AB18" s="61"/>
    </row>
    <row r="19" spans="1:28" x14ac:dyDescent="0.25">
      <c r="A19" s="62"/>
      <c r="B19" s="63"/>
      <c r="C19" s="63"/>
      <c r="D19" s="16">
        <v>0</v>
      </c>
      <c r="E19" s="16">
        <v>1</v>
      </c>
      <c r="F19" s="16">
        <v>2</v>
      </c>
      <c r="G19" s="16">
        <v>3</v>
      </c>
      <c r="H19" s="16">
        <v>4</v>
      </c>
      <c r="I19" s="16">
        <v>5</v>
      </c>
      <c r="J19" s="16">
        <v>6</v>
      </c>
      <c r="K19" s="16">
        <v>7</v>
      </c>
      <c r="L19" s="16">
        <v>8</v>
      </c>
      <c r="M19" s="16">
        <v>9</v>
      </c>
      <c r="N19" s="16">
        <v>10</v>
      </c>
      <c r="O19" s="16">
        <v>11</v>
      </c>
      <c r="P19" s="16">
        <v>12</v>
      </c>
      <c r="Q19" s="16">
        <v>13</v>
      </c>
      <c r="R19" s="16">
        <v>14</v>
      </c>
      <c r="S19" s="16">
        <v>15</v>
      </c>
      <c r="T19" s="16">
        <v>16</v>
      </c>
      <c r="U19" s="16">
        <v>17</v>
      </c>
      <c r="V19" s="16">
        <v>18</v>
      </c>
      <c r="W19" s="16">
        <v>19</v>
      </c>
      <c r="X19" s="16">
        <v>20</v>
      </c>
      <c r="Y19" s="16">
        <v>21</v>
      </c>
      <c r="Z19" s="16">
        <v>22</v>
      </c>
      <c r="AA19" s="16">
        <v>23</v>
      </c>
      <c r="AB19" s="16">
        <v>24</v>
      </c>
    </row>
    <row r="20" spans="1:28" x14ac:dyDescent="0.25">
      <c r="A20" s="64" t="s">
        <v>249</v>
      </c>
      <c r="B20" s="65"/>
      <c r="C20" s="65"/>
      <c r="D20" s="66"/>
      <c r="E20" s="67">
        <v>490</v>
      </c>
      <c r="F20" s="67">
        <v>510</v>
      </c>
      <c r="G20" s="67">
        <f>+F20+20</f>
        <v>530</v>
      </c>
      <c r="H20" s="67">
        <f t="shared" ref="H20:M20" si="9">+G20+20</f>
        <v>550</v>
      </c>
      <c r="I20" s="67">
        <f t="shared" si="9"/>
        <v>570</v>
      </c>
      <c r="J20" s="67">
        <f t="shared" si="9"/>
        <v>590</v>
      </c>
      <c r="K20" s="67">
        <f t="shared" si="9"/>
        <v>610</v>
      </c>
      <c r="L20" s="67">
        <f t="shared" si="9"/>
        <v>630</v>
      </c>
      <c r="M20" s="67">
        <f t="shared" si="9"/>
        <v>650</v>
      </c>
      <c r="N20" s="68">
        <f t="shared" ref="N20:AB21" si="10">+M20*(1+N$29)</f>
        <v>656.5</v>
      </c>
      <c r="O20" s="69">
        <f t="shared" si="10"/>
        <v>663.06500000000005</v>
      </c>
      <c r="P20" s="69">
        <f t="shared" si="10"/>
        <v>669.69565000000011</v>
      </c>
      <c r="Q20" s="69">
        <f t="shared" si="10"/>
        <v>676.39260650000017</v>
      </c>
      <c r="R20" s="69">
        <f t="shared" si="10"/>
        <v>683.15653256500013</v>
      </c>
      <c r="S20" s="69">
        <f t="shared" si="10"/>
        <v>689.98809789065012</v>
      </c>
      <c r="T20" s="69">
        <f t="shared" si="10"/>
        <v>696.8879788695566</v>
      </c>
      <c r="U20" s="69">
        <f t="shared" si="10"/>
        <v>703.85685865825212</v>
      </c>
      <c r="V20" s="69">
        <f t="shared" si="10"/>
        <v>710.89542724483465</v>
      </c>
      <c r="W20" s="69">
        <f t="shared" si="10"/>
        <v>718.00438151728304</v>
      </c>
      <c r="X20" s="69">
        <f t="shared" si="10"/>
        <v>725.18442533245582</v>
      </c>
      <c r="Y20" s="69">
        <f t="shared" si="10"/>
        <v>732.43626958578034</v>
      </c>
      <c r="Z20" s="69">
        <f t="shared" si="10"/>
        <v>739.7606322816381</v>
      </c>
      <c r="AA20" s="69">
        <f t="shared" si="10"/>
        <v>747.15823860445448</v>
      </c>
      <c r="AB20" s="69">
        <f t="shared" si="10"/>
        <v>754.62982099049907</v>
      </c>
    </row>
    <row r="21" spans="1:28" x14ac:dyDescent="0.25">
      <c r="A21" s="51" t="s">
        <v>250</v>
      </c>
      <c r="B21" s="70"/>
      <c r="C21" s="70"/>
      <c r="D21" s="71"/>
      <c r="E21" s="53">
        <v>200</v>
      </c>
      <c r="F21" s="53">
        <v>300</v>
      </c>
      <c r="G21" s="53">
        <v>320</v>
      </c>
      <c r="H21" s="53">
        <v>350</v>
      </c>
      <c r="I21" s="53">
        <v>400</v>
      </c>
      <c r="J21" s="68">
        <v>320</v>
      </c>
      <c r="K21" s="68">
        <v>320</v>
      </c>
      <c r="L21" s="68">
        <v>300</v>
      </c>
      <c r="M21" s="68">
        <v>300</v>
      </c>
      <c r="N21" s="68">
        <f>+M21*(1+N$29)</f>
        <v>303</v>
      </c>
      <c r="O21" s="68">
        <f t="shared" si="10"/>
        <v>306.03000000000003</v>
      </c>
      <c r="P21" s="68">
        <f t="shared" si="10"/>
        <v>309.09030000000001</v>
      </c>
      <c r="Q21" s="68">
        <f t="shared" si="10"/>
        <v>312.18120300000004</v>
      </c>
      <c r="R21" s="68">
        <f t="shared" si="10"/>
        <v>315.30301503000004</v>
      </c>
      <c r="S21" s="68">
        <f t="shared" si="10"/>
        <v>318.45604518030007</v>
      </c>
      <c r="T21" s="68">
        <f t="shared" si="10"/>
        <v>321.64060563210307</v>
      </c>
      <c r="U21" s="68">
        <f t="shared" si="10"/>
        <v>324.85701168842411</v>
      </c>
      <c r="V21" s="68">
        <f t="shared" si="10"/>
        <v>328.10558180530836</v>
      </c>
      <c r="W21" s="68">
        <f t="shared" si="10"/>
        <v>331.38663762336142</v>
      </c>
      <c r="X21" s="68">
        <f t="shared" si="10"/>
        <v>334.70050399959501</v>
      </c>
      <c r="Y21" s="68">
        <f t="shared" si="10"/>
        <v>338.04750903959098</v>
      </c>
      <c r="Z21" s="68">
        <f t="shared" si="10"/>
        <v>341.4279841299869</v>
      </c>
      <c r="AA21" s="68">
        <f t="shared" si="10"/>
        <v>344.84226397128674</v>
      </c>
      <c r="AB21" s="68">
        <f t="shared" si="10"/>
        <v>348.29068661099961</v>
      </c>
    </row>
    <row r="22" spans="1:28" x14ac:dyDescent="0.25">
      <c r="A22" s="72" t="s">
        <v>251</v>
      </c>
      <c r="B22" s="73"/>
      <c r="C22" s="73"/>
      <c r="D22" s="74"/>
      <c r="E22" s="75">
        <f t="shared" ref="E22:X22" si="11">+E20-E21</f>
        <v>290</v>
      </c>
      <c r="F22" s="75">
        <f t="shared" si="11"/>
        <v>210</v>
      </c>
      <c r="G22" s="75">
        <f t="shared" si="11"/>
        <v>210</v>
      </c>
      <c r="H22" s="75">
        <f t="shared" si="11"/>
        <v>200</v>
      </c>
      <c r="I22" s="75">
        <f t="shared" si="11"/>
        <v>170</v>
      </c>
      <c r="J22" s="75">
        <f t="shared" si="11"/>
        <v>270</v>
      </c>
      <c r="K22" s="75">
        <f t="shared" si="11"/>
        <v>290</v>
      </c>
      <c r="L22" s="75">
        <f t="shared" si="11"/>
        <v>330</v>
      </c>
      <c r="M22" s="75">
        <f t="shared" si="11"/>
        <v>350</v>
      </c>
      <c r="N22" s="75">
        <f t="shared" si="11"/>
        <v>353.5</v>
      </c>
      <c r="O22" s="75">
        <f t="shared" si="11"/>
        <v>357.03500000000003</v>
      </c>
      <c r="P22" s="75">
        <f t="shared" si="11"/>
        <v>360.6053500000001</v>
      </c>
      <c r="Q22" s="75">
        <f t="shared" si="11"/>
        <v>364.21140350000013</v>
      </c>
      <c r="R22" s="75">
        <f t="shared" si="11"/>
        <v>367.85351753500009</v>
      </c>
      <c r="S22" s="75">
        <f t="shared" si="11"/>
        <v>371.53205271035006</v>
      </c>
      <c r="T22" s="75">
        <f t="shared" si="11"/>
        <v>375.24737323745353</v>
      </c>
      <c r="U22" s="75">
        <f t="shared" si="11"/>
        <v>378.99984696982801</v>
      </c>
      <c r="V22" s="75">
        <f t="shared" si="11"/>
        <v>382.78984543952629</v>
      </c>
      <c r="W22" s="75">
        <f t="shared" si="11"/>
        <v>386.61774389392161</v>
      </c>
      <c r="X22" s="75">
        <f t="shared" si="11"/>
        <v>390.4839213328608</v>
      </c>
      <c r="Y22" s="75">
        <f>+Y20-Y21</f>
        <v>394.38876054618936</v>
      </c>
      <c r="Z22" s="75">
        <f>+Z20-Z21</f>
        <v>398.3326481516512</v>
      </c>
      <c r="AA22" s="75">
        <f>+AA20-AA21</f>
        <v>402.31597463316774</v>
      </c>
      <c r="AB22" s="75">
        <f>+AB20-AB21</f>
        <v>406.33913437949946</v>
      </c>
    </row>
    <row r="23" spans="1:28" x14ac:dyDescent="0.25">
      <c r="A23" s="64" t="s">
        <v>252</v>
      </c>
      <c r="B23" s="65"/>
      <c r="C23" s="65"/>
      <c r="D23" s="76"/>
      <c r="E23" s="53">
        <f>+(D14+E14)/2*E31</f>
        <v>50.750000000000007</v>
      </c>
      <c r="F23" s="53">
        <f t="shared" ref="F23:AB23" si="12">+(E14+F14)/2*F31</f>
        <v>50.750000000000007</v>
      </c>
      <c r="G23" s="53">
        <f t="shared" si="12"/>
        <v>46.550000000000004</v>
      </c>
      <c r="H23" s="53">
        <f t="shared" si="12"/>
        <v>47.6</v>
      </c>
      <c r="I23" s="53">
        <f t="shared" si="12"/>
        <v>59.850000000000009</v>
      </c>
      <c r="J23" s="53">
        <f t="shared" si="12"/>
        <v>69.650000000000006</v>
      </c>
      <c r="K23" s="53">
        <f t="shared" si="12"/>
        <v>64.75</v>
      </c>
      <c r="L23" s="53">
        <f t="shared" si="12"/>
        <v>57.050000000000004</v>
      </c>
      <c r="M23" s="53">
        <f t="shared" si="12"/>
        <v>57.050000000000004</v>
      </c>
      <c r="N23" s="53">
        <f t="shared" si="12"/>
        <v>56.945000000000007</v>
      </c>
      <c r="O23" s="53">
        <f t="shared" si="12"/>
        <v>55.439999999999991</v>
      </c>
      <c r="P23" s="53">
        <f t="shared" si="12"/>
        <v>56.143499999999968</v>
      </c>
      <c r="Q23" s="53">
        <f t="shared" si="12"/>
        <v>56.854034999999982</v>
      </c>
      <c r="R23" s="53">
        <f t="shared" si="12"/>
        <v>57.571675350000007</v>
      </c>
      <c r="S23" s="53">
        <f t="shared" si="12"/>
        <v>58.296492103500007</v>
      </c>
      <c r="T23" s="53">
        <f t="shared" si="12"/>
        <v>59.028557024534997</v>
      </c>
      <c r="U23" s="53">
        <f t="shared" si="12"/>
        <v>59.767942594780344</v>
      </c>
      <c r="V23" s="53">
        <f t="shared" si="12"/>
        <v>60.514722020728144</v>
      </c>
      <c r="W23" s="53">
        <f t="shared" si="12"/>
        <v>61.268969240935434</v>
      </c>
      <c r="X23" s="53">
        <f t="shared" si="12"/>
        <v>62.030758933344792</v>
      </c>
      <c r="Y23" s="53">
        <f t="shared" si="12"/>
        <v>62.800166522678239</v>
      </c>
      <c r="Z23" s="53">
        <f t="shared" si="12"/>
        <v>63.57726818790502</v>
      </c>
      <c r="AA23" s="53">
        <f t="shared" si="12"/>
        <v>64.362140869784071</v>
      </c>
      <c r="AB23" s="53">
        <f t="shared" si="12"/>
        <v>65.154862278481886</v>
      </c>
    </row>
    <row r="24" spans="1:28" x14ac:dyDescent="0.25">
      <c r="A24" s="77" t="s">
        <v>253</v>
      </c>
      <c r="B24" s="78"/>
      <c r="C24" s="78"/>
      <c r="D24" s="79"/>
      <c r="E24" s="80">
        <f t="shared" ref="E24:X24" si="13">+E22-E23</f>
        <v>239.25</v>
      </c>
      <c r="F24" s="80">
        <f t="shared" si="13"/>
        <v>159.25</v>
      </c>
      <c r="G24" s="80">
        <f t="shared" si="13"/>
        <v>163.44999999999999</v>
      </c>
      <c r="H24" s="80">
        <f t="shared" si="13"/>
        <v>152.4</v>
      </c>
      <c r="I24" s="80">
        <f t="shared" si="13"/>
        <v>110.14999999999999</v>
      </c>
      <c r="J24" s="80">
        <f t="shared" si="13"/>
        <v>200.35</v>
      </c>
      <c r="K24" s="80">
        <f t="shared" si="13"/>
        <v>225.25</v>
      </c>
      <c r="L24" s="80">
        <f t="shared" si="13"/>
        <v>272.95</v>
      </c>
      <c r="M24" s="80">
        <f t="shared" si="13"/>
        <v>292.95</v>
      </c>
      <c r="N24" s="80">
        <f t="shared" si="13"/>
        <v>296.55500000000001</v>
      </c>
      <c r="O24" s="80">
        <f t="shared" si="13"/>
        <v>301.59500000000003</v>
      </c>
      <c r="P24" s="80">
        <f t="shared" si="13"/>
        <v>304.46185000000014</v>
      </c>
      <c r="Q24" s="80">
        <f t="shared" si="13"/>
        <v>307.35736850000012</v>
      </c>
      <c r="R24" s="80">
        <f t="shared" si="13"/>
        <v>310.28184218500007</v>
      </c>
      <c r="S24" s="80">
        <f t="shared" si="13"/>
        <v>313.23556060685007</v>
      </c>
      <c r="T24" s="80">
        <f t="shared" si="13"/>
        <v>316.21881621291851</v>
      </c>
      <c r="U24" s="80">
        <f t="shared" si="13"/>
        <v>319.23190437504769</v>
      </c>
      <c r="V24" s="80">
        <f t="shared" si="13"/>
        <v>322.27512341879816</v>
      </c>
      <c r="W24" s="80">
        <f t="shared" si="13"/>
        <v>325.34877465298621</v>
      </c>
      <c r="X24" s="80">
        <f t="shared" si="13"/>
        <v>328.45316239951603</v>
      </c>
      <c r="Y24" s="80">
        <f>+Y22-Y23</f>
        <v>331.58859402351112</v>
      </c>
      <c r="Z24" s="80">
        <f>+Z22-Z23</f>
        <v>334.75537996374618</v>
      </c>
      <c r="AA24" s="80">
        <f>+AA22-AA23</f>
        <v>337.95383376338367</v>
      </c>
      <c r="AB24" s="80">
        <f>+AB22-AB23</f>
        <v>341.18427210101754</v>
      </c>
    </row>
    <row r="25" spans="1:28" x14ac:dyDescent="0.25">
      <c r="A25" s="64" t="s">
        <v>254</v>
      </c>
      <c r="B25" s="65"/>
      <c r="C25" s="65"/>
      <c r="D25" s="76"/>
      <c r="E25" s="53">
        <f t="shared" ref="E25:N25" si="14">E24*E30</f>
        <v>83.737499999999997</v>
      </c>
      <c r="F25" s="53">
        <f t="shared" si="14"/>
        <v>55.737499999999997</v>
      </c>
      <c r="G25" s="53">
        <f t="shared" si="14"/>
        <v>57.207499999999989</v>
      </c>
      <c r="H25" s="53">
        <f t="shared" si="14"/>
        <v>53.339999999999996</v>
      </c>
      <c r="I25" s="53">
        <f t="shared" si="14"/>
        <v>38.552499999999995</v>
      </c>
      <c r="J25" s="53">
        <f t="shared" si="14"/>
        <v>70.122499999999988</v>
      </c>
      <c r="K25" s="53">
        <f t="shared" si="14"/>
        <v>78.837499999999991</v>
      </c>
      <c r="L25" s="53">
        <f t="shared" si="14"/>
        <v>95.532499999999985</v>
      </c>
      <c r="M25" s="53">
        <f t="shared" si="14"/>
        <v>102.53249999999998</v>
      </c>
      <c r="N25" s="53">
        <f t="shared" si="14"/>
        <v>103.79424999999999</v>
      </c>
      <c r="O25" s="69">
        <f t="shared" ref="O25:AB25" si="15">+N25*(1+O$29)</f>
        <v>104.83219249999999</v>
      </c>
      <c r="P25" s="69">
        <f t="shared" si="15"/>
        <v>105.88051442499999</v>
      </c>
      <c r="Q25" s="69">
        <f t="shared" si="15"/>
        <v>106.93931956924999</v>
      </c>
      <c r="R25" s="69">
        <f t="shared" si="15"/>
        <v>108.00871276494249</v>
      </c>
      <c r="S25" s="69">
        <f t="shared" si="15"/>
        <v>109.08879989259191</v>
      </c>
      <c r="T25" s="69">
        <f t="shared" si="15"/>
        <v>110.17968789151783</v>
      </c>
      <c r="U25" s="69">
        <f t="shared" si="15"/>
        <v>111.28148477043301</v>
      </c>
      <c r="V25" s="69">
        <f t="shared" si="15"/>
        <v>112.39429961813734</v>
      </c>
      <c r="W25" s="69">
        <f t="shared" si="15"/>
        <v>113.51824261431871</v>
      </c>
      <c r="X25" s="69">
        <f t="shared" si="15"/>
        <v>114.6534250404619</v>
      </c>
      <c r="Y25" s="69">
        <f t="shared" si="15"/>
        <v>115.79995929086651</v>
      </c>
      <c r="Z25" s="69">
        <f t="shared" si="15"/>
        <v>116.95795888377518</v>
      </c>
      <c r="AA25" s="69">
        <f t="shared" si="15"/>
        <v>118.12753847261293</v>
      </c>
      <c r="AB25" s="69">
        <f t="shared" si="15"/>
        <v>119.30881385733906</v>
      </c>
    </row>
    <row r="26" spans="1:28" x14ac:dyDescent="0.25">
      <c r="A26" s="81" t="s">
        <v>255</v>
      </c>
      <c r="B26" s="82"/>
      <c r="C26" s="82"/>
      <c r="D26" s="83"/>
      <c r="E26" s="84">
        <f t="shared" ref="E26:X26" si="16">E24-E25</f>
        <v>155.51249999999999</v>
      </c>
      <c r="F26" s="84">
        <f t="shared" si="16"/>
        <v>103.5125</v>
      </c>
      <c r="G26" s="84">
        <f t="shared" si="16"/>
        <v>106.24250000000001</v>
      </c>
      <c r="H26" s="84">
        <f t="shared" si="16"/>
        <v>99.06</v>
      </c>
      <c r="I26" s="85">
        <f t="shared" si="16"/>
        <v>71.597499999999997</v>
      </c>
      <c r="J26" s="85">
        <f t="shared" si="16"/>
        <v>130.22750000000002</v>
      </c>
      <c r="K26" s="85">
        <f t="shared" si="16"/>
        <v>146.41250000000002</v>
      </c>
      <c r="L26" s="85">
        <f t="shared" si="16"/>
        <v>177.41750000000002</v>
      </c>
      <c r="M26" s="85">
        <f t="shared" si="16"/>
        <v>190.41750000000002</v>
      </c>
      <c r="N26" s="85">
        <f t="shared" si="16"/>
        <v>192.76075000000003</v>
      </c>
      <c r="O26" s="84">
        <f t="shared" si="16"/>
        <v>196.76280750000004</v>
      </c>
      <c r="P26" s="84">
        <f t="shared" si="16"/>
        <v>198.58133557500014</v>
      </c>
      <c r="Q26" s="84">
        <f t="shared" si="16"/>
        <v>200.41804893075013</v>
      </c>
      <c r="R26" s="84">
        <f t="shared" si="16"/>
        <v>202.27312942005759</v>
      </c>
      <c r="S26" s="85">
        <f t="shared" si="16"/>
        <v>204.14676071425816</v>
      </c>
      <c r="T26" s="85">
        <f t="shared" si="16"/>
        <v>206.03912832140068</v>
      </c>
      <c r="U26" s="85">
        <f t="shared" si="16"/>
        <v>207.95041960461469</v>
      </c>
      <c r="V26" s="85">
        <f t="shared" si="16"/>
        <v>209.88082380066083</v>
      </c>
      <c r="W26" s="85">
        <f t="shared" si="16"/>
        <v>211.83053203866751</v>
      </c>
      <c r="X26" s="85">
        <f t="shared" si="16"/>
        <v>213.79973735905412</v>
      </c>
      <c r="Y26" s="85">
        <f>Y24-Y25</f>
        <v>215.7886347326446</v>
      </c>
      <c r="Z26" s="85">
        <f>Z24-Z25</f>
        <v>217.797421079971</v>
      </c>
      <c r="AA26" s="85">
        <f>AA24-AA25</f>
        <v>219.82629529077076</v>
      </c>
      <c r="AB26" s="85">
        <f>AB24-AB25</f>
        <v>221.87545824367848</v>
      </c>
    </row>
    <row r="28" spans="1:28" x14ac:dyDescent="0.25">
      <c r="A28" s="45"/>
      <c r="B28" s="45"/>
      <c r="C28" s="45"/>
      <c r="D28" s="16">
        <v>0</v>
      </c>
      <c r="E28" s="16">
        <v>1</v>
      </c>
      <c r="F28" s="16">
        <v>2</v>
      </c>
      <c r="G28" s="16">
        <v>3</v>
      </c>
      <c r="H28" s="16">
        <v>4</v>
      </c>
      <c r="I28" s="16">
        <v>5</v>
      </c>
      <c r="J28" s="16">
        <v>6</v>
      </c>
      <c r="K28" s="16">
        <v>7</v>
      </c>
      <c r="L28" s="16">
        <v>8</v>
      </c>
      <c r="M28" s="16">
        <v>9</v>
      </c>
      <c r="N28" s="16">
        <v>10</v>
      </c>
      <c r="O28" s="16">
        <v>11</v>
      </c>
      <c r="P28" s="16">
        <v>12</v>
      </c>
      <c r="Q28" s="16">
        <v>13</v>
      </c>
      <c r="R28" s="16">
        <v>14</v>
      </c>
      <c r="S28" s="16">
        <v>15</v>
      </c>
      <c r="T28" s="16">
        <v>16</v>
      </c>
      <c r="U28" s="16">
        <v>17</v>
      </c>
      <c r="V28" s="16">
        <v>18</v>
      </c>
      <c r="W28" s="16">
        <v>19</v>
      </c>
      <c r="X28" s="16">
        <v>20</v>
      </c>
      <c r="Y28" s="16">
        <v>21</v>
      </c>
      <c r="Z28" s="16">
        <v>22</v>
      </c>
      <c r="AA28" s="16">
        <v>23</v>
      </c>
      <c r="AB28" s="16">
        <v>24</v>
      </c>
    </row>
    <row r="29" spans="1:28" x14ac:dyDescent="0.25">
      <c r="A29" s="86" t="s">
        <v>256</v>
      </c>
      <c r="B29" s="86" t="s">
        <v>257</v>
      </c>
      <c r="C29" s="86"/>
      <c r="D29" s="87">
        <v>0.01</v>
      </c>
      <c r="E29" s="87">
        <v>0.01</v>
      </c>
      <c r="F29" s="87">
        <v>0.01</v>
      </c>
      <c r="G29" s="87">
        <v>0.01</v>
      </c>
      <c r="H29" s="87">
        <v>0.01</v>
      </c>
      <c r="I29" s="87">
        <v>0.01</v>
      </c>
      <c r="J29" s="87">
        <v>0.01</v>
      </c>
      <c r="K29" s="87">
        <v>0.01</v>
      </c>
      <c r="L29" s="87">
        <v>0.01</v>
      </c>
      <c r="M29" s="87">
        <v>0.01</v>
      </c>
      <c r="N29" s="87">
        <v>0.01</v>
      </c>
      <c r="O29" s="87">
        <v>0.01</v>
      </c>
      <c r="P29" s="87">
        <v>0.01</v>
      </c>
      <c r="Q29" s="87">
        <v>0.01</v>
      </c>
      <c r="R29" s="87">
        <v>0.01</v>
      </c>
      <c r="S29" s="87">
        <v>0.01</v>
      </c>
      <c r="T29" s="87">
        <v>0.01</v>
      </c>
      <c r="U29" s="87">
        <v>0.01</v>
      </c>
      <c r="V29" s="87">
        <v>0.01</v>
      </c>
      <c r="W29" s="87">
        <v>0.01</v>
      </c>
      <c r="X29" s="87">
        <v>0.01</v>
      </c>
      <c r="Y29" s="87">
        <v>0.01</v>
      </c>
      <c r="Z29" s="87">
        <v>0.01</v>
      </c>
      <c r="AA29" s="87">
        <v>0.01</v>
      </c>
      <c r="AB29" s="87">
        <v>0.01</v>
      </c>
    </row>
    <row r="30" spans="1:28" x14ac:dyDescent="0.25">
      <c r="A30" s="86" t="s">
        <v>258</v>
      </c>
      <c r="B30" s="86" t="s">
        <v>259</v>
      </c>
      <c r="C30" s="86"/>
      <c r="D30" s="88">
        <v>0.35</v>
      </c>
      <c r="E30" s="88">
        <v>0.35</v>
      </c>
      <c r="F30" s="88">
        <v>0.35</v>
      </c>
      <c r="G30" s="88">
        <v>0.35</v>
      </c>
      <c r="H30" s="88">
        <v>0.35</v>
      </c>
      <c r="I30" s="88">
        <v>0.35</v>
      </c>
      <c r="J30" s="88">
        <v>0.35</v>
      </c>
      <c r="K30" s="88">
        <v>0.35</v>
      </c>
      <c r="L30" s="88">
        <v>0.35</v>
      </c>
      <c r="M30" s="88">
        <v>0.35</v>
      </c>
      <c r="N30" s="88">
        <v>0.35</v>
      </c>
      <c r="O30" s="88">
        <v>0.35</v>
      </c>
      <c r="P30" s="88">
        <v>0.35</v>
      </c>
      <c r="Q30" s="88">
        <v>0.35</v>
      </c>
      <c r="R30" s="88">
        <v>0.35</v>
      </c>
      <c r="S30" s="88">
        <v>0.35</v>
      </c>
      <c r="T30" s="88">
        <v>0.35</v>
      </c>
      <c r="U30" s="88">
        <v>0.35</v>
      </c>
      <c r="V30" s="88">
        <v>0.35</v>
      </c>
      <c r="W30" s="88">
        <v>0.35</v>
      </c>
      <c r="X30" s="88">
        <v>0.35</v>
      </c>
      <c r="Y30" s="88">
        <v>0.35</v>
      </c>
      <c r="Z30" s="88">
        <v>0.35</v>
      </c>
      <c r="AA30" s="88">
        <v>0.35</v>
      </c>
      <c r="AB30" s="88">
        <v>0.35</v>
      </c>
    </row>
    <row r="31" spans="1:28" x14ac:dyDescent="0.25">
      <c r="A31" s="86" t="s">
        <v>260</v>
      </c>
      <c r="B31" s="86" t="s">
        <v>261</v>
      </c>
      <c r="C31" s="86"/>
      <c r="D31" s="87">
        <v>7.0000000000000007E-2</v>
      </c>
      <c r="E31" s="87">
        <v>7.0000000000000007E-2</v>
      </c>
      <c r="F31" s="87">
        <v>7.0000000000000007E-2</v>
      </c>
      <c r="G31" s="87">
        <v>7.0000000000000007E-2</v>
      </c>
      <c r="H31" s="87">
        <v>7.0000000000000007E-2</v>
      </c>
      <c r="I31" s="87">
        <v>7.0000000000000007E-2</v>
      </c>
      <c r="J31" s="87">
        <v>7.0000000000000007E-2</v>
      </c>
      <c r="K31" s="87">
        <v>7.0000000000000007E-2</v>
      </c>
      <c r="L31" s="87">
        <v>7.0000000000000007E-2</v>
      </c>
      <c r="M31" s="87">
        <v>7.0000000000000007E-2</v>
      </c>
      <c r="N31" s="87">
        <v>7.0000000000000007E-2</v>
      </c>
      <c r="O31" s="87">
        <v>7.0000000000000007E-2</v>
      </c>
      <c r="P31" s="87">
        <v>7.0000000000000007E-2</v>
      </c>
      <c r="Q31" s="87">
        <v>7.0000000000000007E-2</v>
      </c>
      <c r="R31" s="87">
        <v>7.0000000000000007E-2</v>
      </c>
      <c r="S31" s="87">
        <v>7.0000000000000007E-2</v>
      </c>
      <c r="T31" s="87">
        <v>7.0000000000000007E-2</v>
      </c>
      <c r="U31" s="87">
        <v>7.0000000000000007E-2</v>
      </c>
      <c r="V31" s="87">
        <v>7.0000000000000007E-2</v>
      </c>
      <c r="W31" s="87">
        <v>7.0000000000000007E-2</v>
      </c>
      <c r="X31" s="87">
        <v>7.0000000000000007E-2</v>
      </c>
      <c r="Y31" s="87">
        <v>7.0000000000000007E-2</v>
      </c>
      <c r="Z31" s="87">
        <v>7.0000000000000007E-2</v>
      </c>
      <c r="AA31" s="87">
        <v>7.0000000000000007E-2</v>
      </c>
      <c r="AB31" s="87">
        <v>7.0000000000000007E-2</v>
      </c>
    </row>
    <row r="32" spans="1:28" x14ac:dyDescent="0.25">
      <c r="A32" s="86" t="s">
        <v>262</v>
      </c>
      <c r="B32" s="86" t="s">
        <v>263</v>
      </c>
      <c r="C32" s="86"/>
      <c r="D32" s="87">
        <v>0.04</v>
      </c>
      <c r="E32" s="87">
        <v>0.04</v>
      </c>
      <c r="F32" s="87">
        <v>0.04</v>
      </c>
      <c r="G32" s="87">
        <v>0.04</v>
      </c>
      <c r="H32" s="87">
        <v>0.04</v>
      </c>
      <c r="I32" s="87">
        <v>0.04</v>
      </c>
      <c r="J32" s="87">
        <v>0.04</v>
      </c>
      <c r="K32" s="87">
        <v>0.04</v>
      </c>
      <c r="L32" s="87">
        <v>0.04</v>
      </c>
      <c r="M32" s="87">
        <v>0.04</v>
      </c>
      <c r="N32" s="87">
        <v>0.04</v>
      </c>
      <c r="O32" s="87">
        <v>0.04</v>
      </c>
      <c r="P32" s="87">
        <v>0.04</v>
      </c>
      <c r="Q32" s="87">
        <v>0.04</v>
      </c>
      <c r="R32" s="87">
        <v>0.04</v>
      </c>
      <c r="S32" s="87">
        <v>0.04</v>
      </c>
      <c r="T32" s="87">
        <v>0.04</v>
      </c>
      <c r="U32" s="87">
        <v>0.04</v>
      </c>
      <c r="V32" s="87">
        <v>0.04</v>
      </c>
      <c r="W32" s="87">
        <v>0.04</v>
      </c>
      <c r="X32" s="87">
        <v>0.04</v>
      </c>
      <c r="Y32" s="87">
        <v>0.04</v>
      </c>
      <c r="Z32" s="87">
        <v>0.04</v>
      </c>
      <c r="AA32" s="87">
        <v>0.04</v>
      </c>
      <c r="AB32" s="87">
        <v>0.04</v>
      </c>
    </row>
    <row r="33" spans="1:28" x14ac:dyDescent="0.25">
      <c r="A33" s="86" t="s">
        <v>264</v>
      </c>
      <c r="B33" s="86" t="s">
        <v>265</v>
      </c>
      <c r="C33" s="86"/>
      <c r="D33" s="87">
        <v>0.08</v>
      </c>
      <c r="E33" s="87">
        <v>0.08</v>
      </c>
      <c r="F33" s="87">
        <v>0.08</v>
      </c>
      <c r="G33" s="87">
        <v>0.08</v>
      </c>
      <c r="H33" s="87">
        <v>0.08</v>
      </c>
      <c r="I33" s="87">
        <v>0.08</v>
      </c>
      <c r="J33" s="87">
        <v>0.08</v>
      </c>
      <c r="K33" s="87">
        <v>0.08</v>
      </c>
      <c r="L33" s="87">
        <v>0.08</v>
      </c>
      <c r="M33" s="87">
        <v>0.08</v>
      </c>
      <c r="N33" s="87">
        <v>0.08</v>
      </c>
      <c r="O33" s="87">
        <v>0.08</v>
      </c>
      <c r="P33" s="87">
        <v>0.08</v>
      </c>
      <c r="Q33" s="87">
        <v>0.08</v>
      </c>
      <c r="R33" s="87">
        <v>0.08</v>
      </c>
      <c r="S33" s="87">
        <v>0.08</v>
      </c>
      <c r="T33" s="87">
        <v>0.08</v>
      </c>
      <c r="U33" s="87">
        <v>0.08</v>
      </c>
      <c r="V33" s="87">
        <v>0.08</v>
      </c>
      <c r="W33" s="87">
        <v>0.08</v>
      </c>
      <c r="X33" s="87">
        <v>0.08</v>
      </c>
      <c r="Y33" s="87">
        <v>0.08</v>
      </c>
      <c r="Z33" s="87">
        <v>0.08</v>
      </c>
      <c r="AA33" s="87">
        <v>0.08</v>
      </c>
      <c r="AB33" s="87">
        <v>0.08</v>
      </c>
    </row>
    <row r="34" spans="1:28" x14ac:dyDescent="0.25">
      <c r="A34" s="89" t="s">
        <v>266</v>
      </c>
      <c r="B34" s="86" t="s">
        <v>267</v>
      </c>
      <c r="C34" s="86"/>
      <c r="D34" s="90">
        <v>0.9</v>
      </c>
      <c r="E34" s="90">
        <v>0.9</v>
      </c>
      <c r="F34" s="90">
        <v>0.9</v>
      </c>
      <c r="G34" s="90">
        <v>0.9</v>
      </c>
      <c r="H34" s="90">
        <v>0.9</v>
      </c>
      <c r="I34" s="90">
        <v>0.9</v>
      </c>
      <c r="J34" s="90">
        <v>0.9</v>
      </c>
      <c r="K34" s="90">
        <v>0.9</v>
      </c>
      <c r="L34" s="90">
        <v>0.9</v>
      </c>
      <c r="M34" s="90">
        <v>0.9</v>
      </c>
      <c r="N34" s="90">
        <v>0.9</v>
      </c>
      <c r="O34" s="90">
        <v>0.9</v>
      </c>
      <c r="P34" s="90">
        <v>0.9</v>
      </c>
      <c r="Q34" s="90">
        <v>0.9</v>
      </c>
      <c r="R34" s="90">
        <v>0.9</v>
      </c>
      <c r="S34" s="90">
        <v>0.9</v>
      </c>
      <c r="T34" s="90">
        <v>0.9</v>
      </c>
      <c r="U34" s="90">
        <v>0.9</v>
      </c>
      <c r="V34" s="90">
        <v>0.9</v>
      </c>
      <c r="W34" s="90">
        <v>0.9</v>
      </c>
      <c r="X34" s="90">
        <v>0.9</v>
      </c>
      <c r="Y34" s="90">
        <v>0.9</v>
      </c>
      <c r="Z34" s="90">
        <v>0.9</v>
      </c>
      <c r="AA34" s="90">
        <v>0.9</v>
      </c>
      <c r="AB34" s="90">
        <v>0.9</v>
      </c>
    </row>
    <row r="35" spans="1:28" x14ac:dyDescent="0.25">
      <c r="A35" s="86" t="s">
        <v>268</v>
      </c>
      <c r="B35" s="86" t="s">
        <v>269</v>
      </c>
      <c r="C35" s="86" t="s">
        <v>324</v>
      </c>
      <c r="D35" s="87">
        <v>7.0000000000000007E-2</v>
      </c>
      <c r="E35" s="87">
        <v>7.0000000000000007E-2</v>
      </c>
      <c r="F35" s="87">
        <v>7.0000000000000007E-2</v>
      </c>
      <c r="G35" s="87">
        <v>7.0000000000000007E-2</v>
      </c>
      <c r="H35" s="87">
        <v>7.0000000000000007E-2</v>
      </c>
      <c r="I35" s="87">
        <v>7.0000000000000007E-2</v>
      </c>
      <c r="J35" s="87">
        <v>7.0000000000000007E-2</v>
      </c>
      <c r="K35" s="87">
        <v>7.0000000000000007E-2</v>
      </c>
      <c r="L35" s="87">
        <v>7.0000000000000007E-2</v>
      </c>
      <c r="M35" s="87">
        <v>7.0000000000000007E-2</v>
      </c>
      <c r="N35" s="87">
        <v>7.0000000000000007E-2</v>
      </c>
      <c r="O35" s="87">
        <v>7.0000000000000007E-2</v>
      </c>
      <c r="P35" s="87">
        <v>7.0000000000000007E-2</v>
      </c>
      <c r="Q35" s="87">
        <v>7.0000000000000007E-2</v>
      </c>
      <c r="R35" s="87">
        <v>7.0000000000000007E-2</v>
      </c>
      <c r="S35" s="87">
        <v>7.0000000000000007E-2</v>
      </c>
      <c r="T35" s="87">
        <v>7.0000000000000007E-2</v>
      </c>
      <c r="U35" s="87">
        <v>7.0000000000000007E-2</v>
      </c>
      <c r="V35" s="87">
        <v>7.0000000000000007E-2</v>
      </c>
      <c r="W35" s="87">
        <v>7.0000000000000007E-2</v>
      </c>
      <c r="X35" s="87">
        <v>7.0000000000000007E-2</v>
      </c>
      <c r="Y35" s="87">
        <v>7.0000000000000007E-2</v>
      </c>
      <c r="Z35" s="87">
        <v>7.0000000000000007E-2</v>
      </c>
      <c r="AA35" s="87">
        <v>7.0000000000000007E-2</v>
      </c>
      <c r="AB35" s="87">
        <v>7.0000000000000007E-2</v>
      </c>
    </row>
    <row r="36" spans="1:28" x14ac:dyDescent="0.25">
      <c r="A36" s="91" t="s">
        <v>270</v>
      </c>
      <c r="B36" s="92" t="s">
        <v>271</v>
      </c>
      <c r="C36" s="93" t="s">
        <v>325</v>
      </c>
      <c r="D36" s="93">
        <f t="shared" ref="D36:AB36" si="17">+(D31-D32)/D33</f>
        <v>0.37500000000000006</v>
      </c>
      <c r="E36" s="93">
        <f t="shared" si="17"/>
        <v>0.37500000000000006</v>
      </c>
      <c r="F36" s="93">
        <f t="shared" si="17"/>
        <v>0.37500000000000006</v>
      </c>
      <c r="G36" s="93">
        <f t="shared" si="17"/>
        <v>0.37500000000000006</v>
      </c>
      <c r="H36" s="93">
        <f t="shared" si="17"/>
        <v>0.37500000000000006</v>
      </c>
      <c r="I36" s="93">
        <f t="shared" si="17"/>
        <v>0.37500000000000006</v>
      </c>
      <c r="J36" s="93">
        <f t="shared" si="17"/>
        <v>0.37500000000000006</v>
      </c>
      <c r="K36" s="93">
        <f t="shared" si="17"/>
        <v>0.37500000000000006</v>
      </c>
      <c r="L36" s="93">
        <f t="shared" si="17"/>
        <v>0.37500000000000006</v>
      </c>
      <c r="M36" s="93">
        <f t="shared" si="17"/>
        <v>0.37500000000000006</v>
      </c>
      <c r="N36" s="93">
        <f t="shared" si="17"/>
        <v>0.37500000000000006</v>
      </c>
      <c r="O36" s="93">
        <f t="shared" si="17"/>
        <v>0.37500000000000006</v>
      </c>
      <c r="P36" s="93">
        <f t="shared" si="17"/>
        <v>0.37500000000000006</v>
      </c>
      <c r="Q36" s="93">
        <f t="shared" si="17"/>
        <v>0.37500000000000006</v>
      </c>
      <c r="R36" s="93">
        <f t="shared" ref="R36:AA41" si="18">+Q36</f>
        <v>0.37500000000000006</v>
      </c>
      <c r="S36" s="93">
        <f t="shared" si="17"/>
        <v>0.37500000000000006</v>
      </c>
      <c r="T36" s="93">
        <f t="shared" si="17"/>
        <v>0.37500000000000006</v>
      </c>
      <c r="U36" s="93">
        <f t="shared" si="17"/>
        <v>0.37500000000000006</v>
      </c>
      <c r="V36" s="93">
        <f t="shared" si="17"/>
        <v>0.37500000000000006</v>
      </c>
      <c r="W36" s="93">
        <f t="shared" si="17"/>
        <v>0.37500000000000006</v>
      </c>
      <c r="X36" s="93">
        <f t="shared" si="17"/>
        <v>0.37500000000000006</v>
      </c>
      <c r="Y36" s="93">
        <f t="shared" si="17"/>
        <v>0.37500000000000006</v>
      </c>
      <c r="Z36" s="93">
        <f t="shared" si="17"/>
        <v>0.37500000000000006</v>
      </c>
      <c r="AA36" s="93">
        <f t="shared" si="17"/>
        <v>0.37500000000000006</v>
      </c>
      <c r="AB36" s="93">
        <f t="shared" si="17"/>
        <v>0.37500000000000006</v>
      </c>
    </row>
    <row r="37" spans="1:28" x14ac:dyDescent="0.25">
      <c r="A37" s="92" t="s">
        <v>272</v>
      </c>
      <c r="B37" s="92" t="s">
        <v>273</v>
      </c>
      <c r="C37" s="94" t="s">
        <v>326</v>
      </c>
      <c r="D37" s="94">
        <f>+D32+(D33*D34)</f>
        <v>0.11200000000000002</v>
      </c>
      <c r="E37" s="94">
        <f t="shared" ref="E37:Q37" si="19">+E32+(E33*E34)</f>
        <v>0.11200000000000002</v>
      </c>
      <c r="F37" s="94">
        <f t="shared" si="19"/>
        <v>0.11200000000000002</v>
      </c>
      <c r="G37" s="94">
        <f t="shared" si="19"/>
        <v>0.11200000000000002</v>
      </c>
      <c r="H37" s="94">
        <f t="shared" si="19"/>
        <v>0.11200000000000002</v>
      </c>
      <c r="I37" s="94">
        <f t="shared" si="19"/>
        <v>0.11200000000000002</v>
      </c>
      <c r="J37" s="94">
        <f t="shared" si="19"/>
        <v>0.11200000000000002</v>
      </c>
      <c r="K37" s="94">
        <f t="shared" si="19"/>
        <v>0.11200000000000002</v>
      </c>
      <c r="L37" s="94">
        <f t="shared" si="19"/>
        <v>0.11200000000000002</v>
      </c>
      <c r="M37" s="94">
        <f t="shared" si="19"/>
        <v>0.11200000000000002</v>
      </c>
      <c r="N37" s="94">
        <f t="shared" si="19"/>
        <v>0.11200000000000002</v>
      </c>
      <c r="O37" s="94">
        <f t="shared" si="19"/>
        <v>0.11200000000000002</v>
      </c>
      <c r="P37" s="94">
        <f t="shared" si="19"/>
        <v>0.11200000000000002</v>
      </c>
      <c r="Q37" s="94">
        <f t="shared" si="19"/>
        <v>0.11200000000000002</v>
      </c>
      <c r="R37" s="94">
        <f t="shared" si="18"/>
        <v>0.11200000000000002</v>
      </c>
      <c r="S37" s="94">
        <f t="shared" si="18"/>
        <v>0.11200000000000002</v>
      </c>
      <c r="T37" s="94">
        <f t="shared" si="18"/>
        <v>0.11200000000000002</v>
      </c>
      <c r="U37" s="94">
        <f t="shared" si="18"/>
        <v>0.11200000000000002</v>
      </c>
      <c r="V37" s="94">
        <f t="shared" si="18"/>
        <v>0.11200000000000002</v>
      </c>
      <c r="W37" s="94">
        <f t="shared" si="18"/>
        <v>0.11200000000000002</v>
      </c>
      <c r="X37" s="94">
        <f t="shared" si="18"/>
        <v>0.11200000000000002</v>
      </c>
      <c r="Y37" s="94">
        <f t="shared" si="18"/>
        <v>0.11200000000000002</v>
      </c>
      <c r="Z37" s="94">
        <f t="shared" si="18"/>
        <v>0.11200000000000002</v>
      </c>
      <c r="AA37" s="94">
        <f t="shared" si="18"/>
        <v>0.11200000000000002</v>
      </c>
      <c r="AB37" s="94">
        <f>+AB32+(AB33*AB34)</f>
        <v>0.11200000000000002</v>
      </c>
    </row>
    <row r="38" spans="1:28" x14ac:dyDescent="0.25">
      <c r="A38" s="91" t="s">
        <v>274</v>
      </c>
      <c r="B38" s="92" t="s">
        <v>275</v>
      </c>
      <c r="C38" s="95" t="s">
        <v>327</v>
      </c>
      <c r="D38" s="95">
        <f t="shared" ref="D38:Q38" si="20">+((D34*(D14*(1-D30)+D76)/D76)-(D36*D14*(1-D30)/D76))</f>
        <v>1.0949288948804845</v>
      </c>
      <c r="E38" s="95">
        <f t="shared" si="20"/>
        <v>1.1088535466789922</v>
      </c>
      <c r="F38" s="95">
        <f t="shared" si="20"/>
        <v>1.0864648591209647</v>
      </c>
      <c r="G38" s="95">
        <f t="shared" si="20"/>
        <v>1.0605227969823754</v>
      </c>
      <c r="H38" s="95">
        <f t="shared" si="20"/>
        <v>1.0772482541810415</v>
      </c>
      <c r="I38" s="95">
        <f t="shared" si="20"/>
        <v>1.1220940631219209</v>
      </c>
      <c r="J38" s="95">
        <f t="shared" si="20"/>
        <v>1.1194526048636757</v>
      </c>
      <c r="K38" s="95">
        <f t="shared" si="20"/>
        <v>1.0756682590882007</v>
      </c>
      <c r="L38" s="95">
        <f t="shared" si="20"/>
        <v>1.0622591878548666</v>
      </c>
      <c r="M38" s="95">
        <f t="shared" si="20"/>
        <v>1.0708445487106397</v>
      </c>
      <c r="N38" s="95">
        <f t="shared" si="20"/>
        <v>1.0582188510253792</v>
      </c>
      <c r="O38" s="95">
        <f t="shared" si="20"/>
        <v>1.0587687036861397</v>
      </c>
      <c r="P38" s="95">
        <f t="shared" si="20"/>
        <v>1.0593139725894558</v>
      </c>
      <c r="Q38" s="95">
        <f t="shared" si="20"/>
        <v>1.0598546881580464</v>
      </c>
      <c r="R38" s="95">
        <f t="shared" si="18"/>
        <v>1.0598546881580464</v>
      </c>
      <c r="S38" s="95">
        <f t="shared" si="18"/>
        <v>1.0598546881580464</v>
      </c>
      <c r="T38" s="95">
        <f t="shared" si="18"/>
        <v>1.0598546881580464</v>
      </c>
      <c r="U38" s="95">
        <f t="shared" si="18"/>
        <v>1.0598546881580464</v>
      </c>
      <c r="V38" s="95">
        <f t="shared" si="18"/>
        <v>1.0598546881580464</v>
      </c>
      <c r="W38" s="95">
        <f t="shared" si="18"/>
        <v>1.0598546881580464</v>
      </c>
      <c r="X38" s="95">
        <f t="shared" si="18"/>
        <v>1.0598546881580464</v>
      </c>
      <c r="Y38" s="95">
        <f t="shared" si="18"/>
        <v>1.0598546881580464</v>
      </c>
      <c r="Z38" s="95">
        <f t="shared" si="18"/>
        <v>1.0598546881580464</v>
      </c>
      <c r="AA38" s="95">
        <f t="shared" si="18"/>
        <v>1.0598546881580464</v>
      </c>
    </row>
    <row r="39" spans="1:28" x14ac:dyDescent="0.25">
      <c r="A39" s="92" t="s">
        <v>276</v>
      </c>
      <c r="B39" s="92" t="s">
        <v>277</v>
      </c>
      <c r="C39" s="94" t="s">
        <v>328</v>
      </c>
      <c r="D39" s="94">
        <f>+D32+(D38*D33)</f>
        <v>0.12759431159043877</v>
      </c>
      <c r="E39" s="94">
        <f t="shared" ref="E39:Q39" si="21">+E32+(E38*E33)</f>
        <v>0.12870828373431936</v>
      </c>
      <c r="F39" s="94">
        <f t="shared" si="21"/>
        <v>0.12691718872967717</v>
      </c>
      <c r="G39" s="94">
        <f t="shared" si="21"/>
        <v>0.12484182375859004</v>
      </c>
      <c r="H39" s="94">
        <f t="shared" si="21"/>
        <v>0.12617986033448333</v>
      </c>
      <c r="I39" s="94">
        <f t="shared" si="21"/>
        <v>0.12976752504975367</v>
      </c>
      <c r="J39" s="94">
        <f t="shared" si="21"/>
        <v>0.12955620838909407</v>
      </c>
      <c r="K39" s="94">
        <f t="shared" si="21"/>
        <v>0.12605346072705606</v>
      </c>
      <c r="L39" s="94">
        <f t="shared" si="21"/>
        <v>0.12498073502838933</v>
      </c>
      <c r="M39" s="94">
        <f t="shared" si="21"/>
        <v>0.12566756389685119</v>
      </c>
      <c r="N39" s="94">
        <f t="shared" si="21"/>
        <v>0.12465750808203033</v>
      </c>
      <c r="O39" s="94">
        <f t="shared" si="21"/>
        <v>0.12470149629489119</v>
      </c>
      <c r="P39" s="94">
        <f t="shared" si="21"/>
        <v>0.12474511780715647</v>
      </c>
      <c r="Q39" s="94">
        <f t="shared" si="21"/>
        <v>0.1247883750526437</v>
      </c>
      <c r="R39" s="94">
        <f t="shared" si="18"/>
        <v>0.1247883750526437</v>
      </c>
      <c r="S39" s="94">
        <f t="shared" si="18"/>
        <v>0.1247883750526437</v>
      </c>
      <c r="T39" s="94">
        <f t="shared" si="18"/>
        <v>0.1247883750526437</v>
      </c>
      <c r="U39" s="94">
        <f t="shared" si="18"/>
        <v>0.1247883750526437</v>
      </c>
      <c r="V39" s="94">
        <f t="shared" si="18"/>
        <v>0.1247883750526437</v>
      </c>
      <c r="W39" s="94">
        <f t="shared" si="18"/>
        <v>0.1247883750526437</v>
      </c>
      <c r="X39" s="94">
        <f t="shared" si="18"/>
        <v>0.1247883750526437</v>
      </c>
      <c r="Y39" s="94">
        <f t="shared" si="18"/>
        <v>0.1247883750526437</v>
      </c>
      <c r="Z39" s="94">
        <f t="shared" si="18"/>
        <v>0.1247883750526437</v>
      </c>
      <c r="AA39" s="94">
        <f t="shared" si="18"/>
        <v>0.1247883750526437</v>
      </c>
    </row>
    <row r="40" spans="1:28" x14ac:dyDescent="0.25">
      <c r="A40" s="92" t="s">
        <v>278</v>
      </c>
      <c r="B40" s="92"/>
      <c r="C40" s="96" t="s">
        <v>329</v>
      </c>
      <c r="D40" s="96"/>
      <c r="E40" s="96">
        <f>+(D76/(D76+D14)*E39)+(D14/(D76+D14)*E31*(1-E30))</f>
        <v>9.8457748049120372E-2</v>
      </c>
      <c r="F40" s="96">
        <f t="shared" ref="F40:Q40" si="22">+(E76/(E76+E14)*F39)+(E14/(E76+E14)*F31*(1-F30))</f>
        <v>9.600615619865327E-2</v>
      </c>
      <c r="G40" s="96">
        <f t="shared" si="22"/>
        <v>9.680686940049292E-2</v>
      </c>
      <c r="H40" s="96">
        <f t="shared" si="22"/>
        <v>0.10036945985258243</v>
      </c>
      <c r="I40" s="96">
        <f t="shared" si="22"/>
        <v>0.1009607323965796</v>
      </c>
      <c r="J40" s="96">
        <f t="shared" si="22"/>
        <v>9.6417694869840864E-2</v>
      </c>
      <c r="K40" s="96">
        <f t="shared" si="22"/>
        <v>9.4525754891563743E-2</v>
      </c>
      <c r="L40" s="96">
        <f t="shared" si="22"/>
        <v>9.7970193017132223E-2</v>
      </c>
      <c r="M40" s="96">
        <f t="shared" si="22"/>
        <v>9.9833032722505169E-2</v>
      </c>
      <c r="N40" s="96">
        <f t="shared" si="22"/>
        <v>9.8249047419085744E-2</v>
      </c>
      <c r="O40" s="96">
        <f t="shared" si="22"/>
        <v>9.9612504824166309E-2</v>
      </c>
      <c r="P40" s="96">
        <f t="shared" si="22"/>
        <v>9.9582769809080124E-2</v>
      </c>
      <c r="Q40" s="96">
        <f t="shared" si="22"/>
        <v>9.9553346761545619E-2</v>
      </c>
      <c r="R40" s="96">
        <f t="shared" si="18"/>
        <v>9.9553346761545619E-2</v>
      </c>
      <c r="S40" s="96">
        <f t="shared" si="18"/>
        <v>9.9553346761545619E-2</v>
      </c>
      <c r="T40" s="96">
        <f t="shared" si="18"/>
        <v>9.9553346761545619E-2</v>
      </c>
      <c r="U40" s="96">
        <f t="shared" si="18"/>
        <v>9.9553346761545619E-2</v>
      </c>
      <c r="V40" s="96">
        <f t="shared" si="18"/>
        <v>9.9553346761545619E-2</v>
      </c>
      <c r="W40" s="96">
        <f t="shared" si="18"/>
        <v>9.9553346761545619E-2</v>
      </c>
      <c r="X40" s="96">
        <f t="shared" si="18"/>
        <v>9.9553346761545619E-2</v>
      </c>
      <c r="Y40" s="96">
        <f t="shared" si="18"/>
        <v>9.9553346761545619E-2</v>
      </c>
      <c r="Z40" s="96">
        <f t="shared" si="18"/>
        <v>9.9553346761545619E-2</v>
      </c>
      <c r="AA40" s="96">
        <f t="shared" si="18"/>
        <v>9.9553346761545619E-2</v>
      </c>
    </row>
    <row r="41" spans="1:28" x14ac:dyDescent="0.25">
      <c r="A41" s="92" t="s">
        <v>279</v>
      </c>
      <c r="B41" s="92"/>
      <c r="C41" s="96" t="s">
        <v>330</v>
      </c>
      <c r="D41" s="96"/>
      <c r="E41" s="96">
        <f>+(D76/(D76+D14)*E39)+(D14/(D76+D14)*E31)</f>
        <v>0.10736477137691547</v>
      </c>
      <c r="F41" s="96">
        <f t="shared" ref="F41:Q41" si="23">+(E76/(E76+E14)*F39)+(E14/(E76+E14)*F31)</f>
        <v>0.10530788116393737</v>
      </c>
      <c r="G41" s="96">
        <f t="shared" si="23"/>
        <v>0.10546379646916289</v>
      </c>
      <c r="H41" s="96">
        <f t="shared" si="23"/>
        <v>0.10820728715155084</v>
      </c>
      <c r="I41" s="96">
        <f t="shared" si="23"/>
        <v>0.1093360397238811</v>
      </c>
      <c r="J41" s="96">
        <f t="shared" si="23"/>
        <v>0.10607663139316664</v>
      </c>
      <c r="K41" s="96">
        <f t="shared" si="23"/>
        <v>0.10411477547488576</v>
      </c>
      <c r="L41" s="96">
        <f t="shared" si="23"/>
        <v>0.10629621414715107</v>
      </c>
      <c r="M41" s="96">
        <f t="shared" si="23"/>
        <v>0.10772832082912479</v>
      </c>
      <c r="N41" s="96">
        <f t="shared" si="23"/>
        <v>0.10642271662519129</v>
      </c>
      <c r="O41" s="96">
        <f t="shared" si="23"/>
        <v>0.10737347298497123</v>
      </c>
      <c r="P41" s="96">
        <f t="shared" si="23"/>
        <v>0.10736214528370649</v>
      </c>
      <c r="Q41" s="96">
        <f t="shared" si="23"/>
        <v>0.10735093616505414</v>
      </c>
      <c r="R41" s="96">
        <f t="shared" si="18"/>
        <v>0.10735093616505414</v>
      </c>
      <c r="S41" s="96">
        <f t="shared" si="18"/>
        <v>0.10735093616505414</v>
      </c>
      <c r="T41" s="96">
        <f t="shared" si="18"/>
        <v>0.10735093616505414</v>
      </c>
      <c r="U41" s="96">
        <f t="shared" si="18"/>
        <v>0.10735093616505414</v>
      </c>
      <c r="V41" s="96">
        <f t="shared" si="18"/>
        <v>0.10735093616505414</v>
      </c>
      <c r="W41" s="96">
        <f t="shared" si="18"/>
        <v>0.10735093616505414</v>
      </c>
      <c r="X41" s="96">
        <f t="shared" si="18"/>
        <v>0.10735093616505414</v>
      </c>
      <c r="Y41" s="96">
        <f t="shared" si="18"/>
        <v>0.10735093616505414</v>
      </c>
      <c r="Z41" s="96">
        <f t="shared" si="18"/>
        <v>0.10735093616505414</v>
      </c>
      <c r="AA41" s="96">
        <f t="shared" si="18"/>
        <v>0.10735093616505414</v>
      </c>
    </row>
    <row r="42" spans="1:28" x14ac:dyDescent="0.25">
      <c r="A42" s="92"/>
      <c r="B42" s="92"/>
      <c r="C42" s="92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</row>
    <row r="43" spans="1:28" ht="16.5" thickBot="1" x14ac:dyDescent="0.3">
      <c r="A43" s="92"/>
      <c r="B43" s="92"/>
      <c r="C43" s="92"/>
      <c r="D43" s="92"/>
      <c r="E43" s="97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1:28" x14ac:dyDescent="0.25">
      <c r="A44" s="99" t="s">
        <v>280</v>
      </c>
      <c r="B44" s="100"/>
      <c r="C44" s="100"/>
      <c r="D44" s="101">
        <v>0</v>
      </c>
      <c r="E44" s="101">
        <v>1</v>
      </c>
      <c r="F44" s="101">
        <f t="shared" ref="F44:AB44" si="24">E44+1</f>
        <v>2</v>
      </c>
      <c r="G44" s="101">
        <f t="shared" si="24"/>
        <v>3</v>
      </c>
      <c r="H44" s="101">
        <f t="shared" si="24"/>
        <v>4</v>
      </c>
      <c r="I44" s="101">
        <f t="shared" si="24"/>
        <v>5</v>
      </c>
      <c r="J44" s="101">
        <f t="shared" si="24"/>
        <v>6</v>
      </c>
      <c r="K44" s="101">
        <f t="shared" si="24"/>
        <v>7</v>
      </c>
      <c r="L44" s="101">
        <f t="shared" si="24"/>
        <v>8</v>
      </c>
      <c r="M44" s="101">
        <f t="shared" si="24"/>
        <v>9</v>
      </c>
      <c r="N44" s="101">
        <f t="shared" si="24"/>
        <v>10</v>
      </c>
      <c r="O44" s="101">
        <f t="shared" si="24"/>
        <v>11</v>
      </c>
      <c r="P44" s="101">
        <f t="shared" si="24"/>
        <v>12</v>
      </c>
      <c r="Q44" s="101">
        <f t="shared" si="24"/>
        <v>13</v>
      </c>
      <c r="R44" s="101">
        <f t="shared" si="24"/>
        <v>14</v>
      </c>
      <c r="S44" s="101">
        <f t="shared" si="24"/>
        <v>15</v>
      </c>
      <c r="T44" s="101">
        <f t="shared" si="24"/>
        <v>16</v>
      </c>
      <c r="U44" s="101">
        <f t="shared" si="24"/>
        <v>17</v>
      </c>
      <c r="V44" s="101">
        <f t="shared" si="24"/>
        <v>18</v>
      </c>
      <c r="W44" s="101">
        <f t="shared" si="24"/>
        <v>19</v>
      </c>
      <c r="X44" s="101">
        <f t="shared" si="24"/>
        <v>20</v>
      </c>
      <c r="Y44" s="101">
        <f t="shared" si="24"/>
        <v>21</v>
      </c>
      <c r="Z44" s="101">
        <f t="shared" si="24"/>
        <v>22</v>
      </c>
      <c r="AA44" s="101">
        <f t="shared" si="24"/>
        <v>23</v>
      </c>
      <c r="AB44" s="101">
        <f t="shared" si="24"/>
        <v>24</v>
      </c>
    </row>
    <row r="45" spans="1:28" x14ac:dyDescent="0.25">
      <c r="A45" s="1"/>
      <c r="B45" s="2"/>
      <c r="C45" s="2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</row>
    <row r="46" spans="1:28" x14ac:dyDescent="0.25">
      <c r="A46" s="102" t="s">
        <v>281</v>
      </c>
      <c r="B46" s="45"/>
      <c r="C46" s="45"/>
      <c r="D46" s="45"/>
      <c r="E46" s="103">
        <f>+E22</f>
        <v>290</v>
      </c>
      <c r="F46" s="103">
        <f t="shared" ref="F46:AB46" si="25">+F22</f>
        <v>210</v>
      </c>
      <c r="G46" s="103">
        <f t="shared" si="25"/>
        <v>210</v>
      </c>
      <c r="H46" s="103">
        <f t="shared" si="25"/>
        <v>200</v>
      </c>
      <c r="I46" s="103">
        <f t="shared" si="25"/>
        <v>170</v>
      </c>
      <c r="J46" s="103">
        <f t="shared" si="25"/>
        <v>270</v>
      </c>
      <c r="K46" s="103">
        <f t="shared" si="25"/>
        <v>290</v>
      </c>
      <c r="L46" s="103">
        <f t="shared" si="25"/>
        <v>330</v>
      </c>
      <c r="M46" s="103">
        <f t="shared" si="25"/>
        <v>350</v>
      </c>
      <c r="N46" s="103">
        <f t="shared" si="25"/>
        <v>353.5</v>
      </c>
      <c r="O46" s="103">
        <f t="shared" si="25"/>
        <v>357.03500000000003</v>
      </c>
      <c r="P46" s="103">
        <f t="shared" si="25"/>
        <v>360.6053500000001</v>
      </c>
      <c r="Q46" s="103">
        <f t="shared" si="25"/>
        <v>364.21140350000013</v>
      </c>
      <c r="R46" s="103">
        <f t="shared" si="25"/>
        <v>367.85351753500009</v>
      </c>
      <c r="S46" s="103">
        <f t="shared" si="25"/>
        <v>371.53205271035006</v>
      </c>
      <c r="T46" s="103">
        <f t="shared" si="25"/>
        <v>375.24737323745353</v>
      </c>
      <c r="U46" s="103">
        <f t="shared" si="25"/>
        <v>378.99984696982801</v>
      </c>
      <c r="V46" s="103">
        <f t="shared" si="25"/>
        <v>382.78984543952629</v>
      </c>
      <c r="W46" s="103">
        <f t="shared" si="25"/>
        <v>386.61774389392161</v>
      </c>
      <c r="X46" s="103">
        <f t="shared" si="25"/>
        <v>390.4839213328608</v>
      </c>
      <c r="Y46" s="103">
        <f t="shared" si="25"/>
        <v>394.38876054618936</v>
      </c>
      <c r="Z46" s="103">
        <f t="shared" si="25"/>
        <v>398.3326481516512</v>
      </c>
      <c r="AA46" s="103">
        <f t="shared" si="25"/>
        <v>402.31597463316774</v>
      </c>
      <c r="AB46" s="103">
        <f t="shared" si="25"/>
        <v>406.33913437949946</v>
      </c>
    </row>
    <row r="47" spans="1:28" x14ac:dyDescent="0.25">
      <c r="A47" s="102" t="s">
        <v>282</v>
      </c>
      <c r="B47" s="45"/>
      <c r="C47" s="45"/>
      <c r="D47" s="45"/>
      <c r="E47" s="103">
        <f>+E21</f>
        <v>200</v>
      </c>
      <c r="F47" s="103">
        <f t="shared" ref="F47:AB47" si="26">+F21</f>
        <v>300</v>
      </c>
      <c r="G47" s="103">
        <f t="shared" si="26"/>
        <v>320</v>
      </c>
      <c r="H47" s="103">
        <f t="shared" si="26"/>
        <v>350</v>
      </c>
      <c r="I47" s="103">
        <f t="shared" si="26"/>
        <v>400</v>
      </c>
      <c r="J47" s="103">
        <f t="shared" si="26"/>
        <v>320</v>
      </c>
      <c r="K47" s="103">
        <f t="shared" si="26"/>
        <v>320</v>
      </c>
      <c r="L47" s="103">
        <f t="shared" si="26"/>
        <v>300</v>
      </c>
      <c r="M47" s="103">
        <f t="shared" si="26"/>
        <v>300</v>
      </c>
      <c r="N47" s="103">
        <f t="shared" si="26"/>
        <v>303</v>
      </c>
      <c r="O47" s="103">
        <f t="shared" si="26"/>
        <v>306.03000000000003</v>
      </c>
      <c r="P47" s="103">
        <f t="shared" si="26"/>
        <v>309.09030000000001</v>
      </c>
      <c r="Q47" s="103">
        <f t="shared" si="26"/>
        <v>312.18120300000004</v>
      </c>
      <c r="R47" s="103">
        <f t="shared" si="26"/>
        <v>315.30301503000004</v>
      </c>
      <c r="S47" s="103">
        <f t="shared" si="26"/>
        <v>318.45604518030007</v>
      </c>
      <c r="T47" s="103">
        <f t="shared" si="26"/>
        <v>321.64060563210307</v>
      </c>
      <c r="U47" s="103">
        <f t="shared" si="26"/>
        <v>324.85701168842411</v>
      </c>
      <c r="V47" s="103">
        <f t="shared" si="26"/>
        <v>328.10558180530836</v>
      </c>
      <c r="W47" s="103">
        <f t="shared" si="26"/>
        <v>331.38663762336142</v>
      </c>
      <c r="X47" s="103">
        <f t="shared" si="26"/>
        <v>334.70050399959501</v>
      </c>
      <c r="Y47" s="103">
        <f t="shared" si="26"/>
        <v>338.04750903959098</v>
      </c>
      <c r="Z47" s="103">
        <f t="shared" si="26"/>
        <v>341.4279841299869</v>
      </c>
      <c r="AA47" s="103">
        <f t="shared" si="26"/>
        <v>344.84226397128674</v>
      </c>
      <c r="AB47" s="103">
        <f t="shared" si="26"/>
        <v>348.29068661099961</v>
      </c>
    </row>
    <row r="48" spans="1:28" x14ac:dyDescent="0.25">
      <c r="A48" s="102" t="s">
        <v>283</v>
      </c>
      <c r="B48" s="45"/>
      <c r="C48" s="45"/>
      <c r="D48" s="45"/>
      <c r="E48" s="103">
        <f>+D8-E8</f>
        <v>-200</v>
      </c>
      <c r="F48" s="103">
        <f t="shared" ref="F48:AB48" si="27">+E8-F8</f>
        <v>-200</v>
      </c>
      <c r="G48" s="103">
        <f t="shared" si="27"/>
        <v>-200</v>
      </c>
      <c r="H48" s="103">
        <f t="shared" si="27"/>
        <v>-400</v>
      </c>
      <c r="I48" s="103">
        <f t="shared" si="27"/>
        <v>-600</v>
      </c>
      <c r="J48" s="103">
        <f t="shared" si="27"/>
        <v>-300</v>
      </c>
      <c r="K48" s="103">
        <f t="shared" si="27"/>
        <v>-100</v>
      </c>
      <c r="L48" s="103">
        <f t="shared" si="27"/>
        <v>-200</v>
      </c>
      <c r="M48" s="103">
        <f t="shared" si="27"/>
        <v>-300</v>
      </c>
      <c r="N48" s="103">
        <f t="shared" si="27"/>
        <v>-200</v>
      </c>
      <c r="O48" s="103">
        <f t="shared" si="27"/>
        <v>-306.02999999999975</v>
      </c>
      <c r="P48" s="103">
        <f t="shared" si="27"/>
        <v>-309.09029999999984</v>
      </c>
      <c r="Q48" s="103">
        <f t="shared" si="27"/>
        <v>-312.1812030000001</v>
      </c>
      <c r="R48" s="103">
        <f t="shared" si="27"/>
        <v>-315.3030150300001</v>
      </c>
      <c r="S48" s="103">
        <f t="shared" si="27"/>
        <v>-318.45604518029995</v>
      </c>
      <c r="T48" s="103">
        <f t="shared" si="27"/>
        <v>-321.64060563210296</v>
      </c>
      <c r="U48" s="103">
        <f t="shared" si="27"/>
        <v>-324.85701168842388</v>
      </c>
      <c r="V48" s="103">
        <f t="shared" si="27"/>
        <v>-328.10558180530825</v>
      </c>
      <c r="W48" s="103">
        <f t="shared" si="27"/>
        <v>-331.38663762336182</v>
      </c>
      <c r="X48" s="103">
        <f t="shared" si="27"/>
        <v>-334.70050399959473</v>
      </c>
      <c r="Y48" s="103">
        <f t="shared" si="27"/>
        <v>-338.0475090395912</v>
      </c>
      <c r="Z48" s="103">
        <f t="shared" si="27"/>
        <v>-341.42798412998673</v>
      </c>
      <c r="AA48" s="103">
        <f t="shared" si="27"/>
        <v>-344.84226397128714</v>
      </c>
      <c r="AB48" s="103">
        <f t="shared" si="27"/>
        <v>-348.29068661099882</v>
      </c>
    </row>
    <row r="49" spans="1:28" x14ac:dyDescent="0.25">
      <c r="A49" s="102" t="s">
        <v>284</v>
      </c>
      <c r="B49" s="45"/>
      <c r="C49" s="45"/>
      <c r="D49" s="45"/>
      <c r="E49" s="103">
        <f>+D7-E7</f>
        <v>-50</v>
      </c>
      <c r="F49" s="103">
        <f t="shared" ref="F49:AB49" si="28">+E7-F7</f>
        <v>-50</v>
      </c>
      <c r="G49" s="103">
        <f t="shared" si="28"/>
        <v>-50</v>
      </c>
      <c r="H49" s="103">
        <f t="shared" si="28"/>
        <v>-50</v>
      </c>
      <c r="I49" s="103">
        <f t="shared" si="28"/>
        <v>-50</v>
      </c>
      <c r="J49" s="103">
        <f t="shared" si="28"/>
        <v>-50</v>
      </c>
      <c r="K49" s="103">
        <f t="shared" si="28"/>
        <v>-50</v>
      </c>
      <c r="L49" s="103">
        <f t="shared" si="28"/>
        <v>-50</v>
      </c>
      <c r="M49" s="103">
        <f t="shared" si="28"/>
        <v>-50</v>
      </c>
      <c r="N49" s="103">
        <f t="shared" si="28"/>
        <v>-50</v>
      </c>
      <c r="O49" s="103">
        <f t="shared" si="28"/>
        <v>-10</v>
      </c>
      <c r="P49" s="103">
        <f t="shared" si="28"/>
        <v>-10.100000000000023</v>
      </c>
      <c r="Q49" s="103">
        <f t="shared" si="28"/>
        <v>-10.200999999999908</v>
      </c>
      <c r="R49" s="103">
        <f t="shared" si="28"/>
        <v>-10.303010000000086</v>
      </c>
      <c r="S49" s="103">
        <f t="shared" si="28"/>
        <v>-10.406040099999927</v>
      </c>
      <c r="T49" s="103">
        <f t="shared" si="28"/>
        <v>-10.510100500999897</v>
      </c>
      <c r="U49" s="103">
        <f t="shared" si="28"/>
        <v>-10.615201506009953</v>
      </c>
      <c r="V49" s="103">
        <f t="shared" si="28"/>
        <v>-10.721353521070114</v>
      </c>
      <c r="W49" s="103">
        <f t="shared" si="28"/>
        <v>-10.828567056280917</v>
      </c>
      <c r="X49" s="103">
        <f t="shared" si="28"/>
        <v>-10.936852726843654</v>
      </c>
      <c r="Y49" s="103">
        <f t="shared" si="28"/>
        <v>-11.04622125411197</v>
      </c>
      <c r="Z49" s="103">
        <f t="shared" si="28"/>
        <v>-11.156683466653249</v>
      </c>
      <c r="AA49" s="103">
        <f t="shared" si="28"/>
        <v>-11.268250301319767</v>
      </c>
      <c r="AB49" s="103">
        <f t="shared" si="28"/>
        <v>-11.380932804332815</v>
      </c>
    </row>
    <row r="50" spans="1:28" x14ac:dyDescent="0.25">
      <c r="A50" s="104" t="s">
        <v>285</v>
      </c>
      <c r="B50" s="105"/>
      <c r="C50" s="105"/>
      <c r="D50" s="105"/>
      <c r="E50" s="106">
        <f t="shared" ref="E50:Q50" si="29">SUM(E46:E49)</f>
        <v>240</v>
      </c>
      <c r="F50" s="106">
        <f t="shared" si="29"/>
        <v>260</v>
      </c>
      <c r="G50" s="106">
        <f t="shared" si="29"/>
        <v>280</v>
      </c>
      <c r="H50" s="106">
        <f t="shared" si="29"/>
        <v>100</v>
      </c>
      <c r="I50" s="106">
        <f t="shared" si="29"/>
        <v>-80</v>
      </c>
      <c r="J50" s="106">
        <f t="shared" si="29"/>
        <v>240</v>
      </c>
      <c r="K50" s="106">
        <f t="shared" si="29"/>
        <v>460</v>
      </c>
      <c r="L50" s="106">
        <f t="shared" si="29"/>
        <v>380</v>
      </c>
      <c r="M50" s="106">
        <f t="shared" si="29"/>
        <v>300</v>
      </c>
      <c r="N50" s="106">
        <f t="shared" si="29"/>
        <v>406.5</v>
      </c>
      <c r="O50" s="106">
        <f t="shared" si="29"/>
        <v>347.03500000000031</v>
      </c>
      <c r="P50" s="106">
        <f t="shared" si="29"/>
        <v>350.50535000000025</v>
      </c>
      <c r="Q50" s="106">
        <f t="shared" si="29"/>
        <v>354.01040350000017</v>
      </c>
      <c r="R50" s="106">
        <f t="shared" ref="R50:AB50" si="30">SUM(R46:R49)</f>
        <v>357.55050753499995</v>
      </c>
      <c r="S50" s="106">
        <f t="shared" si="30"/>
        <v>361.12601261035024</v>
      </c>
      <c r="T50" s="106">
        <f t="shared" si="30"/>
        <v>364.73727273645375</v>
      </c>
      <c r="U50" s="106">
        <f t="shared" si="30"/>
        <v>368.38464546381829</v>
      </c>
      <c r="V50" s="106">
        <f t="shared" si="30"/>
        <v>372.06849191845629</v>
      </c>
      <c r="W50" s="106">
        <f t="shared" si="30"/>
        <v>375.7891768376403</v>
      </c>
      <c r="X50" s="106">
        <f t="shared" si="30"/>
        <v>379.54706860601743</v>
      </c>
      <c r="Y50" s="106">
        <f t="shared" si="30"/>
        <v>383.34253929207716</v>
      </c>
      <c r="Z50" s="106">
        <f t="shared" si="30"/>
        <v>387.17596468499812</v>
      </c>
      <c r="AA50" s="106">
        <f t="shared" si="30"/>
        <v>391.04772433184758</v>
      </c>
      <c r="AB50" s="106">
        <f t="shared" si="30"/>
        <v>394.95820157516744</v>
      </c>
    </row>
    <row r="51" spans="1:28" ht="16.5" thickBot="1" x14ac:dyDescent="0.3">
      <c r="A51" s="102" t="s">
        <v>286</v>
      </c>
      <c r="B51" s="45"/>
      <c r="C51" s="103" t="s">
        <v>331</v>
      </c>
      <c r="D51" s="45"/>
      <c r="E51" s="103">
        <f>-E46*E30</f>
        <v>-101.5</v>
      </c>
      <c r="F51" s="103">
        <f t="shared" ref="F51:AB51" si="31">-F46*F30</f>
        <v>-73.5</v>
      </c>
      <c r="G51" s="103">
        <f t="shared" si="31"/>
        <v>-73.5</v>
      </c>
      <c r="H51" s="103">
        <f t="shared" si="31"/>
        <v>-70</v>
      </c>
      <c r="I51" s="103">
        <f t="shared" si="31"/>
        <v>-59.499999999999993</v>
      </c>
      <c r="J51" s="103">
        <f t="shared" si="31"/>
        <v>-94.5</v>
      </c>
      <c r="K51" s="103">
        <f t="shared" si="31"/>
        <v>-101.5</v>
      </c>
      <c r="L51" s="103">
        <f t="shared" si="31"/>
        <v>-115.49999999999999</v>
      </c>
      <c r="M51" s="103">
        <f t="shared" si="31"/>
        <v>-122.49999999999999</v>
      </c>
      <c r="N51" s="103">
        <f t="shared" si="31"/>
        <v>-123.72499999999999</v>
      </c>
      <c r="O51" s="103">
        <f t="shared" si="31"/>
        <v>-124.96225</v>
      </c>
      <c r="P51" s="103">
        <f t="shared" si="31"/>
        <v>-126.21187250000003</v>
      </c>
      <c r="Q51" s="103">
        <f t="shared" si="31"/>
        <v>-127.47399122500003</v>
      </c>
      <c r="R51" s="103">
        <f t="shared" si="31"/>
        <v>-128.74873113725002</v>
      </c>
      <c r="S51" s="103">
        <f t="shared" si="31"/>
        <v>-130.03621844862252</v>
      </c>
      <c r="T51" s="103">
        <f t="shared" si="31"/>
        <v>-131.33658063310872</v>
      </c>
      <c r="U51" s="103">
        <f t="shared" si="31"/>
        <v>-132.64994643943979</v>
      </c>
      <c r="V51" s="103">
        <f t="shared" si="31"/>
        <v>-133.97644590383419</v>
      </c>
      <c r="W51" s="103">
        <f t="shared" si="31"/>
        <v>-135.31621036287257</v>
      </c>
      <c r="X51" s="103">
        <f t="shared" si="31"/>
        <v>-136.66937246650127</v>
      </c>
      <c r="Y51" s="103">
        <f t="shared" si="31"/>
        <v>-138.03606619116627</v>
      </c>
      <c r="Z51" s="103">
        <f t="shared" si="31"/>
        <v>-139.41642685307792</v>
      </c>
      <c r="AA51" s="103">
        <f t="shared" si="31"/>
        <v>-140.8105911216087</v>
      </c>
      <c r="AB51" s="103">
        <f t="shared" si="31"/>
        <v>-142.21869703282479</v>
      </c>
    </row>
    <row r="52" spans="1:28" ht="16.5" thickBot="1" x14ac:dyDescent="0.3">
      <c r="A52" s="107" t="s">
        <v>287</v>
      </c>
      <c r="B52" s="108"/>
      <c r="C52" s="108"/>
      <c r="D52" s="108"/>
      <c r="E52" s="109">
        <f t="shared" ref="E52:AB52" si="32">+E50+E51</f>
        <v>138.5</v>
      </c>
      <c r="F52" s="109">
        <f t="shared" si="32"/>
        <v>186.5</v>
      </c>
      <c r="G52" s="109">
        <f t="shared" si="32"/>
        <v>206.5</v>
      </c>
      <c r="H52" s="109">
        <f t="shared" si="32"/>
        <v>30</v>
      </c>
      <c r="I52" s="109">
        <f t="shared" si="32"/>
        <v>-139.5</v>
      </c>
      <c r="J52" s="109">
        <f t="shared" si="32"/>
        <v>145.5</v>
      </c>
      <c r="K52" s="109">
        <f t="shared" si="32"/>
        <v>358.5</v>
      </c>
      <c r="L52" s="109">
        <f t="shared" si="32"/>
        <v>264.5</v>
      </c>
      <c r="M52" s="109">
        <f t="shared" si="32"/>
        <v>177.5</v>
      </c>
      <c r="N52" s="109">
        <f t="shared" si="32"/>
        <v>282.77499999999998</v>
      </c>
      <c r="O52" s="109">
        <f t="shared" si="32"/>
        <v>222.07275000000033</v>
      </c>
      <c r="P52" s="109">
        <f t="shared" si="32"/>
        <v>224.29347750000022</v>
      </c>
      <c r="Q52" s="109">
        <f t="shared" si="32"/>
        <v>226.53641227500015</v>
      </c>
      <c r="R52" s="109">
        <f t="shared" si="32"/>
        <v>228.80177639774993</v>
      </c>
      <c r="S52" s="109">
        <f t="shared" si="32"/>
        <v>231.08979416172772</v>
      </c>
      <c r="T52" s="109">
        <f t="shared" si="32"/>
        <v>233.40069210334502</v>
      </c>
      <c r="U52" s="109">
        <f t="shared" si="32"/>
        <v>235.7346990243785</v>
      </c>
      <c r="V52" s="109">
        <f t="shared" si="32"/>
        <v>238.0920460146221</v>
      </c>
      <c r="W52" s="109">
        <f t="shared" si="32"/>
        <v>240.47296647476773</v>
      </c>
      <c r="X52" s="109">
        <f t="shared" si="32"/>
        <v>242.87769613951616</v>
      </c>
      <c r="Y52" s="109">
        <f t="shared" si="32"/>
        <v>245.30647310091089</v>
      </c>
      <c r="Z52" s="109">
        <f t="shared" si="32"/>
        <v>247.7595378319202</v>
      </c>
      <c r="AA52" s="109">
        <f t="shared" si="32"/>
        <v>250.23713321023888</v>
      </c>
      <c r="AB52" s="109">
        <f t="shared" si="32"/>
        <v>252.73950454234264</v>
      </c>
    </row>
    <row r="53" spans="1:28" ht="16.5" thickBot="1" x14ac:dyDescent="0.3">
      <c r="A53" s="110" t="s">
        <v>288</v>
      </c>
      <c r="B53" s="110"/>
      <c r="C53" s="112" t="s">
        <v>332</v>
      </c>
      <c r="D53" s="111"/>
      <c r="E53" s="112">
        <f t="shared" ref="E53:AB53" si="33">+D14*E37*E30</f>
        <v>27.44</v>
      </c>
      <c r="F53" s="112">
        <f t="shared" si="33"/>
        <v>29.400000000000002</v>
      </c>
      <c r="G53" s="112">
        <f t="shared" si="33"/>
        <v>27.44</v>
      </c>
      <c r="H53" s="112">
        <f t="shared" si="33"/>
        <v>24.696000000000005</v>
      </c>
      <c r="I53" s="112">
        <f t="shared" si="33"/>
        <v>28.616</v>
      </c>
      <c r="J53" s="112">
        <f t="shared" si="33"/>
        <v>38.416000000000004</v>
      </c>
      <c r="K53" s="112">
        <f t="shared" si="33"/>
        <v>39.592000000000006</v>
      </c>
      <c r="L53" s="112">
        <f t="shared" si="33"/>
        <v>32.928000000000004</v>
      </c>
      <c r="M53" s="112">
        <f t="shared" si="33"/>
        <v>30.968000000000004</v>
      </c>
      <c r="N53" s="112">
        <f t="shared" si="33"/>
        <v>32.928000000000004</v>
      </c>
      <c r="O53" s="112">
        <f t="shared" si="33"/>
        <v>30.850400000000004</v>
      </c>
      <c r="P53" s="112">
        <f t="shared" si="33"/>
        <v>31.242399999999986</v>
      </c>
      <c r="Q53" s="112">
        <f t="shared" si="33"/>
        <v>31.638319999999979</v>
      </c>
      <c r="R53" s="112">
        <f t="shared" si="33"/>
        <v>32.038199200000001</v>
      </c>
      <c r="S53" s="112">
        <f t="shared" si="33"/>
        <v>32.442077192000006</v>
      </c>
      <c r="T53" s="112">
        <f t="shared" si="33"/>
        <v>32.849993963919999</v>
      </c>
      <c r="U53" s="112">
        <f t="shared" si="33"/>
        <v>33.261989903559197</v>
      </c>
      <c r="V53" s="112">
        <f t="shared" si="33"/>
        <v>33.678105802594786</v>
      </c>
      <c r="W53" s="112">
        <f t="shared" si="33"/>
        <v>34.098382860620738</v>
      </c>
      <c r="X53" s="112">
        <f t="shared" si="33"/>
        <v>34.522862689226947</v>
      </c>
      <c r="Y53" s="112">
        <f t="shared" si="33"/>
        <v>34.951587316119216</v>
      </c>
      <c r="Z53" s="112">
        <f t="shared" si="33"/>
        <v>35.384599189280408</v>
      </c>
      <c r="AA53" s="112">
        <f t="shared" si="33"/>
        <v>35.821941181173216</v>
      </c>
      <c r="AB53" s="112">
        <f t="shared" si="33"/>
        <v>36.263656592984951</v>
      </c>
    </row>
    <row r="54" spans="1:28" ht="16.5" thickBot="1" x14ac:dyDescent="0.3">
      <c r="A54" s="113" t="s">
        <v>289</v>
      </c>
      <c r="B54" s="114"/>
      <c r="C54" s="114"/>
      <c r="D54" s="115"/>
      <c r="E54" s="109">
        <f>+E52+E53</f>
        <v>165.94</v>
      </c>
      <c r="F54" s="109">
        <f t="shared" ref="F54:AA54" si="34">+F52+F53</f>
        <v>215.9</v>
      </c>
      <c r="G54" s="109">
        <f t="shared" si="34"/>
        <v>233.94</v>
      </c>
      <c r="H54" s="109">
        <f t="shared" si="34"/>
        <v>54.696000000000005</v>
      </c>
      <c r="I54" s="109">
        <f t="shared" si="34"/>
        <v>-110.884</v>
      </c>
      <c r="J54" s="109">
        <f t="shared" si="34"/>
        <v>183.916</v>
      </c>
      <c r="K54" s="109">
        <f t="shared" si="34"/>
        <v>398.09199999999998</v>
      </c>
      <c r="L54" s="109">
        <f t="shared" si="34"/>
        <v>297.428</v>
      </c>
      <c r="M54" s="109">
        <f t="shared" si="34"/>
        <v>208.46800000000002</v>
      </c>
      <c r="N54" s="109">
        <f t="shared" si="34"/>
        <v>315.70299999999997</v>
      </c>
      <c r="O54" s="109">
        <f t="shared" si="34"/>
        <v>252.92315000000033</v>
      </c>
      <c r="P54" s="109">
        <f t="shared" si="34"/>
        <v>255.5358775000002</v>
      </c>
      <c r="Q54" s="109">
        <f t="shared" si="34"/>
        <v>258.17473227500011</v>
      </c>
      <c r="R54" s="109">
        <f t="shared" si="34"/>
        <v>260.83997559774991</v>
      </c>
      <c r="S54" s="109">
        <f t="shared" si="34"/>
        <v>263.53187135372775</v>
      </c>
      <c r="T54" s="109">
        <f t="shared" si="34"/>
        <v>266.25068606726501</v>
      </c>
      <c r="U54" s="109">
        <f t="shared" si="34"/>
        <v>268.99668892793773</v>
      </c>
      <c r="V54" s="109">
        <f t="shared" si="34"/>
        <v>271.77015181721686</v>
      </c>
      <c r="W54" s="109">
        <f t="shared" si="34"/>
        <v>274.57134933538845</v>
      </c>
      <c r="X54" s="109">
        <f t="shared" si="34"/>
        <v>277.4005588287431</v>
      </c>
      <c r="Y54" s="109">
        <f t="shared" si="34"/>
        <v>280.25806041703009</v>
      </c>
      <c r="Z54" s="109">
        <f t="shared" si="34"/>
        <v>283.14413702120061</v>
      </c>
      <c r="AA54" s="109">
        <f t="shared" si="34"/>
        <v>286.05907439141208</v>
      </c>
      <c r="AB54" s="109">
        <f>+AB52+AB53</f>
        <v>289.00316113532762</v>
      </c>
    </row>
    <row r="55" spans="1:28" x14ac:dyDescent="0.25">
      <c r="E55" s="116"/>
    </row>
    <row r="56" spans="1:28" x14ac:dyDescent="0.25">
      <c r="A56" s="102" t="s">
        <v>290</v>
      </c>
      <c r="B56" s="45"/>
      <c r="C56" s="45"/>
      <c r="D56" s="45"/>
      <c r="E56" s="103">
        <f t="shared" ref="E56:AB56" si="35">+E26</f>
        <v>155.51249999999999</v>
      </c>
      <c r="F56" s="103">
        <f t="shared" si="35"/>
        <v>103.5125</v>
      </c>
      <c r="G56" s="103">
        <f t="shared" si="35"/>
        <v>106.24250000000001</v>
      </c>
      <c r="H56" s="103">
        <f t="shared" si="35"/>
        <v>99.06</v>
      </c>
      <c r="I56" s="103">
        <f t="shared" si="35"/>
        <v>71.597499999999997</v>
      </c>
      <c r="J56" s="103">
        <f t="shared" si="35"/>
        <v>130.22750000000002</v>
      </c>
      <c r="K56" s="103">
        <f t="shared" si="35"/>
        <v>146.41250000000002</v>
      </c>
      <c r="L56" s="103">
        <f t="shared" si="35"/>
        <v>177.41750000000002</v>
      </c>
      <c r="M56" s="103">
        <f t="shared" si="35"/>
        <v>190.41750000000002</v>
      </c>
      <c r="N56" s="103">
        <f t="shared" si="35"/>
        <v>192.76075000000003</v>
      </c>
      <c r="O56" s="103">
        <f t="shared" si="35"/>
        <v>196.76280750000004</v>
      </c>
      <c r="P56" s="103">
        <f t="shared" si="35"/>
        <v>198.58133557500014</v>
      </c>
      <c r="Q56" s="103">
        <f t="shared" si="35"/>
        <v>200.41804893075013</v>
      </c>
      <c r="R56" s="103">
        <f t="shared" si="35"/>
        <v>202.27312942005759</v>
      </c>
      <c r="S56" s="103">
        <f t="shared" si="35"/>
        <v>204.14676071425816</v>
      </c>
      <c r="T56" s="103">
        <f t="shared" si="35"/>
        <v>206.03912832140068</v>
      </c>
      <c r="U56" s="103">
        <f t="shared" si="35"/>
        <v>207.95041960461469</v>
      </c>
      <c r="V56" s="103">
        <f t="shared" si="35"/>
        <v>209.88082380066083</v>
      </c>
      <c r="W56" s="103">
        <f t="shared" si="35"/>
        <v>211.83053203866751</v>
      </c>
      <c r="X56" s="103">
        <f t="shared" si="35"/>
        <v>213.79973735905412</v>
      </c>
      <c r="Y56" s="103">
        <f t="shared" si="35"/>
        <v>215.7886347326446</v>
      </c>
      <c r="Z56" s="103">
        <f t="shared" si="35"/>
        <v>217.797421079971</v>
      </c>
      <c r="AA56" s="103">
        <f t="shared" si="35"/>
        <v>219.82629529077076</v>
      </c>
      <c r="AB56" s="103">
        <f t="shared" si="35"/>
        <v>221.87545824367848</v>
      </c>
    </row>
    <row r="57" spans="1:28" x14ac:dyDescent="0.25">
      <c r="A57" s="102" t="s">
        <v>282</v>
      </c>
      <c r="B57" s="45"/>
      <c r="C57" s="45"/>
      <c r="D57" s="45"/>
      <c r="E57" s="103">
        <f t="shared" ref="E57:AB57" si="36">+E21</f>
        <v>200</v>
      </c>
      <c r="F57" s="103">
        <f t="shared" si="36"/>
        <v>300</v>
      </c>
      <c r="G57" s="103">
        <f t="shared" si="36"/>
        <v>320</v>
      </c>
      <c r="H57" s="103">
        <f t="shared" si="36"/>
        <v>350</v>
      </c>
      <c r="I57" s="103">
        <f t="shared" si="36"/>
        <v>400</v>
      </c>
      <c r="J57" s="103">
        <f t="shared" si="36"/>
        <v>320</v>
      </c>
      <c r="K57" s="103">
        <f t="shared" si="36"/>
        <v>320</v>
      </c>
      <c r="L57" s="103">
        <f t="shared" si="36"/>
        <v>300</v>
      </c>
      <c r="M57" s="103">
        <f t="shared" si="36"/>
        <v>300</v>
      </c>
      <c r="N57" s="103">
        <f t="shared" si="36"/>
        <v>303</v>
      </c>
      <c r="O57" s="103">
        <f t="shared" si="36"/>
        <v>306.03000000000003</v>
      </c>
      <c r="P57" s="103">
        <f t="shared" si="36"/>
        <v>309.09030000000001</v>
      </c>
      <c r="Q57" s="103">
        <f t="shared" si="36"/>
        <v>312.18120300000004</v>
      </c>
      <c r="R57" s="103">
        <f t="shared" si="36"/>
        <v>315.30301503000004</v>
      </c>
      <c r="S57" s="103">
        <f t="shared" si="36"/>
        <v>318.45604518030007</v>
      </c>
      <c r="T57" s="103">
        <f t="shared" si="36"/>
        <v>321.64060563210307</v>
      </c>
      <c r="U57" s="103">
        <f t="shared" si="36"/>
        <v>324.85701168842411</v>
      </c>
      <c r="V57" s="103">
        <f t="shared" si="36"/>
        <v>328.10558180530836</v>
      </c>
      <c r="W57" s="103">
        <f t="shared" si="36"/>
        <v>331.38663762336142</v>
      </c>
      <c r="X57" s="103">
        <f t="shared" si="36"/>
        <v>334.70050399959501</v>
      </c>
      <c r="Y57" s="103">
        <f t="shared" si="36"/>
        <v>338.04750903959098</v>
      </c>
      <c r="Z57" s="103">
        <f t="shared" si="36"/>
        <v>341.4279841299869</v>
      </c>
      <c r="AA57" s="103">
        <f t="shared" si="36"/>
        <v>344.84226397128674</v>
      </c>
      <c r="AB57" s="103">
        <f t="shared" si="36"/>
        <v>348.29068661099961</v>
      </c>
    </row>
    <row r="58" spans="1:28" x14ac:dyDescent="0.25">
      <c r="A58" s="102" t="s">
        <v>283</v>
      </c>
      <c r="B58" s="45"/>
      <c r="C58" s="45"/>
      <c r="D58" s="45"/>
      <c r="E58" s="103">
        <f t="shared" ref="E58:AB58" si="37">-E8+D8</f>
        <v>-200</v>
      </c>
      <c r="F58" s="103">
        <f t="shared" si="37"/>
        <v>-200</v>
      </c>
      <c r="G58" s="103">
        <f t="shared" si="37"/>
        <v>-200</v>
      </c>
      <c r="H58" s="103">
        <f t="shared" si="37"/>
        <v>-400</v>
      </c>
      <c r="I58" s="103">
        <f t="shared" si="37"/>
        <v>-600</v>
      </c>
      <c r="J58" s="103">
        <f t="shared" si="37"/>
        <v>-300</v>
      </c>
      <c r="K58" s="103">
        <f t="shared" si="37"/>
        <v>-100</v>
      </c>
      <c r="L58" s="103">
        <f t="shared" si="37"/>
        <v>-200</v>
      </c>
      <c r="M58" s="103">
        <f t="shared" si="37"/>
        <v>-300</v>
      </c>
      <c r="N58" s="103">
        <f t="shared" si="37"/>
        <v>-200</v>
      </c>
      <c r="O58" s="103">
        <f t="shared" si="37"/>
        <v>-306.02999999999975</v>
      </c>
      <c r="P58" s="103">
        <f t="shared" si="37"/>
        <v>-309.09029999999984</v>
      </c>
      <c r="Q58" s="103">
        <f t="shared" si="37"/>
        <v>-312.1812030000001</v>
      </c>
      <c r="R58" s="103">
        <f t="shared" si="37"/>
        <v>-315.3030150300001</v>
      </c>
      <c r="S58" s="103">
        <f t="shared" si="37"/>
        <v>-318.45604518029995</v>
      </c>
      <c r="T58" s="103">
        <f t="shared" si="37"/>
        <v>-321.64060563210296</v>
      </c>
      <c r="U58" s="103">
        <f t="shared" si="37"/>
        <v>-324.85701168842388</v>
      </c>
      <c r="V58" s="103">
        <f t="shared" si="37"/>
        <v>-328.10558180530825</v>
      </c>
      <c r="W58" s="103">
        <f t="shared" si="37"/>
        <v>-331.38663762336182</v>
      </c>
      <c r="X58" s="103">
        <f t="shared" si="37"/>
        <v>-334.70050399959473</v>
      </c>
      <c r="Y58" s="103">
        <f t="shared" si="37"/>
        <v>-338.0475090395912</v>
      </c>
      <c r="Z58" s="103">
        <f t="shared" si="37"/>
        <v>-341.42798412998673</v>
      </c>
      <c r="AA58" s="103">
        <f t="shared" si="37"/>
        <v>-344.84226397128714</v>
      </c>
      <c r="AB58" s="103">
        <f t="shared" si="37"/>
        <v>-348.29068661099882</v>
      </c>
    </row>
    <row r="59" spans="1:28" x14ac:dyDescent="0.25">
      <c r="A59" s="102" t="s">
        <v>284</v>
      </c>
      <c r="B59" s="45"/>
      <c r="C59" s="45"/>
      <c r="D59" s="45"/>
      <c r="E59" s="103">
        <f>+E49</f>
        <v>-50</v>
      </c>
      <c r="F59" s="103">
        <f t="shared" ref="F59:AB59" si="38">+F49</f>
        <v>-50</v>
      </c>
      <c r="G59" s="103">
        <f t="shared" si="38"/>
        <v>-50</v>
      </c>
      <c r="H59" s="103">
        <f t="shared" si="38"/>
        <v>-50</v>
      </c>
      <c r="I59" s="103">
        <f t="shared" si="38"/>
        <v>-50</v>
      </c>
      <c r="J59" s="103">
        <f t="shared" si="38"/>
        <v>-50</v>
      </c>
      <c r="K59" s="103">
        <f t="shared" si="38"/>
        <v>-50</v>
      </c>
      <c r="L59" s="103">
        <f t="shared" si="38"/>
        <v>-50</v>
      </c>
      <c r="M59" s="103">
        <f t="shared" si="38"/>
        <v>-50</v>
      </c>
      <c r="N59" s="103">
        <f t="shared" si="38"/>
        <v>-50</v>
      </c>
      <c r="O59" s="103">
        <f t="shared" si="38"/>
        <v>-10</v>
      </c>
      <c r="P59" s="103">
        <f t="shared" si="38"/>
        <v>-10.100000000000023</v>
      </c>
      <c r="Q59" s="103">
        <f t="shared" si="38"/>
        <v>-10.200999999999908</v>
      </c>
      <c r="R59" s="103">
        <f t="shared" si="38"/>
        <v>-10.303010000000086</v>
      </c>
      <c r="S59" s="103">
        <f t="shared" si="38"/>
        <v>-10.406040099999927</v>
      </c>
      <c r="T59" s="103">
        <f t="shared" si="38"/>
        <v>-10.510100500999897</v>
      </c>
      <c r="U59" s="103">
        <f t="shared" si="38"/>
        <v>-10.615201506009953</v>
      </c>
      <c r="V59" s="103">
        <f t="shared" si="38"/>
        <v>-10.721353521070114</v>
      </c>
      <c r="W59" s="103">
        <f t="shared" si="38"/>
        <v>-10.828567056280917</v>
      </c>
      <c r="X59" s="103">
        <f t="shared" si="38"/>
        <v>-10.936852726843654</v>
      </c>
      <c r="Y59" s="103">
        <f t="shared" si="38"/>
        <v>-11.04622125411197</v>
      </c>
      <c r="Z59" s="103">
        <f t="shared" si="38"/>
        <v>-11.156683466653249</v>
      </c>
      <c r="AA59" s="103">
        <f t="shared" si="38"/>
        <v>-11.268250301319767</v>
      </c>
      <c r="AB59" s="103">
        <f t="shared" si="38"/>
        <v>-11.380932804332815</v>
      </c>
    </row>
    <row r="60" spans="1:28" ht="16.5" thickBot="1" x14ac:dyDescent="0.3">
      <c r="A60" s="102" t="s">
        <v>291</v>
      </c>
      <c r="B60" s="45"/>
      <c r="C60" s="45"/>
      <c r="D60" s="45"/>
      <c r="E60" s="103">
        <f t="shared" ref="E60:AB60" si="39">+E14-D14</f>
        <v>50</v>
      </c>
      <c r="F60" s="103">
        <f t="shared" si="39"/>
        <v>-50</v>
      </c>
      <c r="G60" s="103">
        <f t="shared" si="39"/>
        <v>-70</v>
      </c>
      <c r="H60" s="103">
        <f t="shared" si="39"/>
        <v>100</v>
      </c>
      <c r="I60" s="103">
        <f t="shared" si="39"/>
        <v>250</v>
      </c>
      <c r="J60" s="103">
        <f t="shared" si="39"/>
        <v>30</v>
      </c>
      <c r="K60" s="103">
        <f t="shared" si="39"/>
        <v>-170</v>
      </c>
      <c r="L60" s="103">
        <f t="shared" si="39"/>
        <v>-50</v>
      </c>
      <c r="M60" s="103">
        <f t="shared" si="39"/>
        <v>50</v>
      </c>
      <c r="N60" s="103">
        <f t="shared" si="39"/>
        <v>-53</v>
      </c>
      <c r="O60" s="103">
        <f t="shared" si="39"/>
        <v>9.9999999999995453</v>
      </c>
      <c r="P60" s="103">
        <f t="shared" si="39"/>
        <v>10.099999999999909</v>
      </c>
      <c r="Q60" s="103">
        <f t="shared" si="39"/>
        <v>10.201000000000477</v>
      </c>
      <c r="R60" s="103">
        <f t="shared" si="39"/>
        <v>10.303010000000086</v>
      </c>
      <c r="S60" s="103">
        <f t="shared" si="39"/>
        <v>10.406040099999927</v>
      </c>
      <c r="T60" s="103">
        <f t="shared" si="39"/>
        <v>10.510100500999897</v>
      </c>
      <c r="U60" s="103">
        <f t="shared" si="39"/>
        <v>10.615201506009953</v>
      </c>
      <c r="V60" s="103">
        <f t="shared" si="39"/>
        <v>10.721353521070114</v>
      </c>
      <c r="W60" s="103">
        <f t="shared" si="39"/>
        <v>10.828567056280917</v>
      </c>
      <c r="X60" s="103">
        <f t="shared" si="39"/>
        <v>10.936852726843654</v>
      </c>
      <c r="Y60" s="103">
        <f t="shared" si="39"/>
        <v>11.04622125411197</v>
      </c>
      <c r="Z60" s="103">
        <f t="shared" si="39"/>
        <v>11.156683466653249</v>
      </c>
      <c r="AA60" s="103">
        <f t="shared" si="39"/>
        <v>11.268250301319767</v>
      </c>
      <c r="AB60" s="103">
        <f t="shared" si="39"/>
        <v>11.380932804331906</v>
      </c>
    </row>
    <row r="61" spans="1:28" ht="16.5" thickBot="1" x14ac:dyDescent="0.3">
      <c r="A61" s="107" t="s">
        <v>292</v>
      </c>
      <c r="B61" s="108"/>
      <c r="C61" s="108"/>
      <c r="D61" s="108"/>
      <c r="E61" s="109">
        <f t="shared" ref="E61:N61" si="40">SUM(E56:E60)</f>
        <v>155.51249999999999</v>
      </c>
      <c r="F61" s="109">
        <f t="shared" si="40"/>
        <v>103.51249999999999</v>
      </c>
      <c r="G61" s="109">
        <f t="shared" si="40"/>
        <v>106.24250000000001</v>
      </c>
      <c r="H61" s="109">
        <f t="shared" si="40"/>
        <v>99.06</v>
      </c>
      <c r="I61" s="109">
        <f t="shared" si="40"/>
        <v>71.597499999999968</v>
      </c>
      <c r="J61" s="109">
        <f t="shared" si="40"/>
        <v>130.22750000000002</v>
      </c>
      <c r="K61" s="109">
        <f t="shared" si="40"/>
        <v>146.41250000000002</v>
      </c>
      <c r="L61" s="109">
        <f t="shared" si="40"/>
        <v>177.41750000000002</v>
      </c>
      <c r="M61" s="109">
        <f t="shared" si="40"/>
        <v>190.41750000000002</v>
      </c>
      <c r="N61" s="109">
        <f t="shared" si="40"/>
        <v>192.76075000000003</v>
      </c>
      <c r="O61" s="109">
        <f t="shared" ref="O61:AB61" si="41">SUM(O56:O60)</f>
        <v>196.76280749999989</v>
      </c>
      <c r="P61" s="109">
        <f t="shared" si="41"/>
        <v>198.5813355750002</v>
      </c>
      <c r="Q61" s="109">
        <f t="shared" si="41"/>
        <v>200.41804893075061</v>
      </c>
      <c r="R61" s="109">
        <f t="shared" si="41"/>
        <v>202.27312942005756</v>
      </c>
      <c r="S61" s="109">
        <f t="shared" si="41"/>
        <v>204.14676071425833</v>
      </c>
      <c r="T61" s="109">
        <f t="shared" si="41"/>
        <v>206.03912832140077</v>
      </c>
      <c r="U61" s="109">
        <f t="shared" si="41"/>
        <v>207.95041960461492</v>
      </c>
      <c r="V61" s="109">
        <f t="shared" si="41"/>
        <v>209.88082380066089</v>
      </c>
      <c r="W61" s="109">
        <f t="shared" si="41"/>
        <v>211.83053203866712</v>
      </c>
      <c r="X61" s="109">
        <f t="shared" si="41"/>
        <v>213.79973735905446</v>
      </c>
      <c r="Y61" s="109">
        <f t="shared" si="41"/>
        <v>215.78863473264437</v>
      </c>
      <c r="Z61" s="109">
        <f t="shared" si="41"/>
        <v>217.79742107997117</v>
      </c>
      <c r="AA61" s="109">
        <f t="shared" si="41"/>
        <v>219.8262952907703</v>
      </c>
      <c r="AB61" s="117">
        <f t="shared" si="41"/>
        <v>221.87545824367839</v>
      </c>
    </row>
    <row r="62" spans="1:28" x14ac:dyDescent="0.25">
      <c r="A62" s="102" t="s">
        <v>291</v>
      </c>
      <c r="B62" s="45"/>
      <c r="C62" s="45"/>
      <c r="D62" s="45"/>
      <c r="E62" s="103">
        <f t="shared" ref="E62:AB62" si="42">-E60</f>
        <v>-50</v>
      </c>
      <c r="F62" s="103">
        <f t="shared" si="42"/>
        <v>50</v>
      </c>
      <c r="G62" s="103">
        <f t="shared" si="42"/>
        <v>70</v>
      </c>
      <c r="H62" s="103">
        <f t="shared" si="42"/>
        <v>-100</v>
      </c>
      <c r="I62" s="103">
        <f t="shared" si="42"/>
        <v>-250</v>
      </c>
      <c r="J62" s="103">
        <f t="shared" si="42"/>
        <v>-30</v>
      </c>
      <c r="K62" s="103">
        <f t="shared" si="42"/>
        <v>170</v>
      </c>
      <c r="L62" s="103">
        <f t="shared" si="42"/>
        <v>50</v>
      </c>
      <c r="M62" s="103">
        <f t="shared" si="42"/>
        <v>-50</v>
      </c>
      <c r="N62" s="103">
        <f t="shared" si="42"/>
        <v>53</v>
      </c>
      <c r="O62" s="103">
        <f t="shared" si="42"/>
        <v>-9.9999999999995453</v>
      </c>
      <c r="P62" s="103">
        <f t="shared" si="42"/>
        <v>-10.099999999999909</v>
      </c>
      <c r="Q62" s="103">
        <f t="shared" si="42"/>
        <v>-10.201000000000477</v>
      </c>
      <c r="R62" s="103">
        <f t="shared" si="42"/>
        <v>-10.303010000000086</v>
      </c>
      <c r="S62" s="103">
        <f t="shared" si="42"/>
        <v>-10.406040099999927</v>
      </c>
      <c r="T62" s="103">
        <f t="shared" si="42"/>
        <v>-10.510100500999897</v>
      </c>
      <c r="U62" s="103">
        <f t="shared" si="42"/>
        <v>-10.615201506009953</v>
      </c>
      <c r="V62" s="103">
        <f t="shared" si="42"/>
        <v>-10.721353521070114</v>
      </c>
      <c r="W62" s="103">
        <f t="shared" si="42"/>
        <v>-10.828567056280917</v>
      </c>
      <c r="X62" s="103">
        <f t="shared" si="42"/>
        <v>-10.936852726843654</v>
      </c>
      <c r="Y62" s="103">
        <f t="shared" si="42"/>
        <v>-11.04622125411197</v>
      </c>
      <c r="Z62" s="103">
        <f t="shared" si="42"/>
        <v>-11.156683466653249</v>
      </c>
      <c r="AA62" s="103">
        <f t="shared" si="42"/>
        <v>-11.268250301319767</v>
      </c>
      <c r="AB62" s="103">
        <f t="shared" si="42"/>
        <v>-11.380932804331906</v>
      </c>
    </row>
    <row r="63" spans="1:28" ht="16.5" thickBot="1" x14ac:dyDescent="0.3">
      <c r="A63" s="102" t="s">
        <v>252</v>
      </c>
      <c r="B63" s="45"/>
      <c r="C63" s="45"/>
      <c r="D63" s="45"/>
      <c r="E63" s="103">
        <f t="shared" ref="E63:AB63" si="43">+E23</f>
        <v>50.750000000000007</v>
      </c>
      <c r="F63" s="103">
        <f t="shared" si="43"/>
        <v>50.750000000000007</v>
      </c>
      <c r="G63" s="103">
        <f t="shared" si="43"/>
        <v>46.550000000000004</v>
      </c>
      <c r="H63" s="103">
        <f t="shared" si="43"/>
        <v>47.6</v>
      </c>
      <c r="I63" s="103">
        <f t="shared" si="43"/>
        <v>59.850000000000009</v>
      </c>
      <c r="J63" s="103">
        <f t="shared" si="43"/>
        <v>69.650000000000006</v>
      </c>
      <c r="K63" s="103">
        <f t="shared" si="43"/>
        <v>64.75</v>
      </c>
      <c r="L63" s="103">
        <f t="shared" si="43"/>
        <v>57.050000000000004</v>
      </c>
      <c r="M63" s="103">
        <f t="shared" si="43"/>
        <v>57.050000000000004</v>
      </c>
      <c r="N63" s="103">
        <f t="shared" si="43"/>
        <v>56.945000000000007</v>
      </c>
      <c r="O63" s="103">
        <f t="shared" si="43"/>
        <v>55.439999999999991</v>
      </c>
      <c r="P63" s="103">
        <f t="shared" si="43"/>
        <v>56.143499999999968</v>
      </c>
      <c r="Q63" s="103">
        <f t="shared" si="43"/>
        <v>56.854034999999982</v>
      </c>
      <c r="R63" s="103">
        <f t="shared" si="43"/>
        <v>57.571675350000007</v>
      </c>
      <c r="S63" s="103">
        <f t="shared" si="43"/>
        <v>58.296492103500007</v>
      </c>
      <c r="T63" s="103">
        <f t="shared" si="43"/>
        <v>59.028557024534997</v>
      </c>
      <c r="U63" s="103">
        <f t="shared" si="43"/>
        <v>59.767942594780344</v>
      </c>
      <c r="V63" s="103">
        <f t="shared" si="43"/>
        <v>60.514722020728144</v>
      </c>
      <c r="W63" s="103">
        <f t="shared" si="43"/>
        <v>61.268969240935434</v>
      </c>
      <c r="X63" s="103">
        <f t="shared" si="43"/>
        <v>62.030758933344792</v>
      </c>
      <c r="Y63" s="103">
        <f t="shared" si="43"/>
        <v>62.800166522678239</v>
      </c>
      <c r="Z63" s="103">
        <f t="shared" si="43"/>
        <v>63.57726818790502</v>
      </c>
      <c r="AA63" s="103">
        <f t="shared" si="43"/>
        <v>64.362140869784071</v>
      </c>
      <c r="AB63" s="103">
        <f t="shared" si="43"/>
        <v>65.154862278481886</v>
      </c>
    </row>
    <row r="64" spans="1:28" ht="16.5" thickBot="1" x14ac:dyDescent="0.3">
      <c r="A64" s="107" t="s">
        <v>293</v>
      </c>
      <c r="B64" s="108"/>
      <c r="C64" s="108"/>
      <c r="D64" s="108"/>
      <c r="E64" s="109">
        <f t="shared" ref="E64:AB64" si="44">SUM(E61:E63)</f>
        <v>156.26249999999999</v>
      </c>
      <c r="F64" s="109">
        <f t="shared" si="44"/>
        <v>204.26249999999999</v>
      </c>
      <c r="G64" s="109">
        <f t="shared" si="44"/>
        <v>222.79250000000002</v>
      </c>
      <c r="H64" s="109">
        <f t="shared" si="44"/>
        <v>46.660000000000004</v>
      </c>
      <c r="I64" s="109">
        <f t="shared" si="44"/>
        <v>-118.55250000000002</v>
      </c>
      <c r="J64" s="109">
        <f t="shared" si="44"/>
        <v>169.87750000000003</v>
      </c>
      <c r="K64" s="109">
        <f t="shared" si="44"/>
        <v>381.16250000000002</v>
      </c>
      <c r="L64" s="109">
        <f t="shared" si="44"/>
        <v>284.46750000000003</v>
      </c>
      <c r="M64" s="109">
        <f t="shared" si="44"/>
        <v>197.46750000000003</v>
      </c>
      <c r="N64" s="109">
        <f t="shared" si="44"/>
        <v>302.70575000000002</v>
      </c>
      <c r="O64" s="109">
        <f t="shared" si="44"/>
        <v>242.20280750000035</v>
      </c>
      <c r="P64" s="109">
        <f t="shared" si="44"/>
        <v>244.62483557500025</v>
      </c>
      <c r="Q64" s="109">
        <f t="shared" si="44"/>
        <v>247.07108393075012</v>
      </c>
      <c r="R64" s="109">
        <f t="shared" si="44"/>
        <v>249.54179477005749</v>
      </c>
      <c r="S64" s="109">
        <f t="shared" si="44"/>
        <v>252.03721271775842</v>
      </c>
      <c r="T64" s="109">
        <f t="shared" si="44"/>
        <v>254.55758484493586</v>
      </c>
      <c r="U64" s="109">
        <f t="shared" si="44"/>
        <v>257.10316069338529</v>
      </c>
      <c r="V64" s="109">
        <f t="shared" si="44"/>
        <v>259.67419230031891</v>
      </c>
      <c r="W64" s="109">
        <f t="shared" si="44"/>
        <v>262.27093422332166</v>
      </c>
      <c r="X64" s="109">
        <f t="shared" si="44"/>
        <v>264.89364356555558</v>
      </c>
      <c r="Y64" s="109">
        <f t="shared" si="44"/>
        <v>267.54258000121064</v>
      </c>
      <c r="Z64" s="109">
        <f t="shared" si="44"/>
        <v>270.21800580122294</v>
      </c>
      <c r="AA64" s="109">
        <f t="shared" si="44"/>
        <v>272.92018585923461</v>
      </c>
      <c r="AB64" s="117">
        <f t="shared" si="44"/>
        <v>275.6493877178284</v>
      </c>
    </row>
    <row r="66" spans="1:29" ht="16.5" thickBot="1" x14ac:dyDescent="0.3">
      <c r="A66" s="9"/>
      <c r="B66" s="9"/>
      <c r="C66" s="9"/>
      <c r="D66" s="9">
        <v>1839.0587786039941</v>
      </c>
      <c r="E66" s="131">
        <v>1809.669945765206</v>
      </c>
      <c r="F66" s="9">
        <v>1742.2774095667014</v>
      </c>
      <c r="G66" s="9">
        <v>1663.2429628878931</v>
      </c>
      <c r="H66" s="9">
        <v>1767.3647536401186</v>
      </c>
      <c r="I66" s="9">
        <v>2060.4192235035812</v>
      </c>
      <c r="J66" s="9">
        <v>2102.2127417316783</v>
      </c>
      <c r="K66" s="9">
        <v>1944.343928839402</v>
      </c>
      <c r="L66" s="9">
        <v>1878.4881847111008</v>
      </c>
      <c r="M66" s="9">
        <v>1902.5188328338172</v>
      </c>
      <c r="N66" s="9">
        <v>1829.6475133292001</v>
      </c>
      <c r="O66" s="9">
        <v>1818.436768547384</v>
      </c>
      <c r="P66" s="9">
        <v>1809.8564728508429</v>
      </c>
      <c r="Q66" s="9">
        <v>1803.6822485706793</v>
      </c>
    </row>
    <row r="67" spans="1:29" x14ac:dyDescent="0.25">
      <c r="A67" s="118"/>
      <c r="B67" s="118" t="s">
        <v>294</v>
      </c>
      <c r="C67" s="118"/>
      <c r="D67" s="101">
        <v>0</v>
      </c>
      <c r="E67" s="101">
        <v>1</v>
      </c>
      <c r="F67" s="101">
        <f t="shared" ref="F67:N67" si="45">E67+1</f>
        <v>2</v>
      </c>
      <c r="G67" s="101">
        <f t="shared" si="45"/>
        <v>3</v>
      </c>
      <c r="H67" s="101">
        <f t="shared" si="45"/>
        <v>4</v>
      </c>
      <c r="I67" s="101">
        <f t="shared" si="45"/>
        <v>5</v>
      </c>
      <c r="J67" s="101">
        <f t="shared" si="45"/>
        <v>6</v>
      </c>
      <c r="K67" s="101">
        <f t="shared" si="45"/>
        <v>7</v>
      </c>
      <c r="L67" s="101">
        <f t="shared" si="45"/>
        <v>8</v>
      </c>
      <c r="M67" s="101">
        <f t="shared" si="45"/>
        <v>9</v>
      </c>
      <c r="N67" s="101">
        <f t="shared" si="45"/>
        <v>10</v>
      </c>
      <c r="O67" s="101">
        <f>N67+1</f>
        <v>11</v>
      </c>
      <c r="P67" s="101">
        <f t="shared" ref="P67:AB67" si="46">O67+1</f>
        <v>12</v>
      </c>
      <c r="Q67" s="101">
        <f t="shared" si="46"/>
        <v>13</v>
      </c>
      <c r="R67" s="101">
        <f t="shared" si="46"/>
        <v>14</v>
      </c>
      <c r="S67" s="101">
        <f t="shared" si="46"/>
        <v>15</v>
      </c>
      <c r="T67" s="101">
        <f t="shared" si="46"/>
        <v>16</v>
      </c>
      <c r="U67" s="101">
        <f t="shared" si="46"/>
        <v>17</v>
      </c>
      <c r="V67" s="101">
        <f t="shared" si="46"/>
        <v>18</v>
      </c>
      <c r="W67" s="101">
        <f t="shared" si="46"/>
        <v>19</v>
      </c>
      <c r="X67" s="101">
        <f t="shared" si="46"/>
        <v>20</v>
      </c>
      <c r="Y67" s="101">
        <f t="shared" si="46"/>
        <v>21</v>
      </c>
      <c r="Z67" s="101">
        <f t="shared" si="46"/>
        <v>22</v>
      </c>
      <c r="AA67" s="101">
        <f t="shared" si="46"/>
        <v>23</v>
      </c>
      <c r="AB67" s="101">
        <f t="shared" si="46"/>
        <v>24</v>
      </c>
    </row>
    <row r="68" spans="1:29" x14ac:dyDescent="0.25">
      <c r="A68" s="118"/>
      <c r="B68" s="118" t="s">
        <v>295</v>
      </c>
      <c r="C68" s="118"/>
      <c r="D68" s="119">
        <f>+D54</f>
        <v>0</v>
      </c>
      <c r="E68" s="119">
        <f t="shared" ref="E68:AB68" si="47">+E54</f>
        <v>165.94</v>
      </c>
      <c r="F68" s="119">
        <f t="shared" si="47"/>
        <v>215.9</v>
      </c>
      <c r="G68" s="119">
        <f t="shared" si="47"/>
        <v>233.94</v>
      </c>
      <c r="H68" s="119">
        <f t="shared" si="47"/>
        <v>54.696000000000005</v>
      </c>
      <c r="I68" s="119">
        <f t="shared" si="47"/>
        <v>-110.884</v>
      </c>
      <c r="J68" s="119">
        <f t="shared" si="47"/>
        <v>183.916</v>
      </c>
      <c r="K68" s="119">
        <f t="shared" si="47"/>
        <v>398.09199999999998</v>
      </c>
      <c r="L68" s="119">
        <f t="shared" si="47"/>
        <v>297.428</v>
      </c>
      <c r="M68" s="119">
        <f t="shared" si="47"/>
        <v>208.46800000000002</v>
      </c>
      <c r="N68" s="119">
        <f t="shared" si="47"/>
        <v>315.70299999999997</v>
      </c>
      <c r="O68" s="119">
        <f t="shared" si="47"/>
        <v>252.92315000000033</v>
      </c>
      <c r="P68" s="119">
        <f t="shared" si="47"/>
        <v>255.5358775000002</v>
      </c>
      <c r="Q68" s="119">
        <f t="shared" si="47"/>
        <v>258.17473227500011</v>
      </c>
      <c r="R68" s="119">
        <f t="shared" si="47"/>
        <v>260.83997559774991</v>
      </c>
      <c r="S68" s="119">
        <f t="shared" si="47"/>
        <v>263.53187135372775</v>
      </c>
      <c r="T68" s="119">
        <f t="shared" si="47"/>
        <v>266.25068606726501</v>
      </c>
      <c r="U68" s="119">
        <f t="shared" si="47"/>
        <v>268.99668892793773</v>
      </c>
      <c r="V68" s="119">
        <f t="shared" si="47"/>
        <v>271.77015181721686</v>
      </c>
      <c r="W68" s="119">
        <f t="shared" si="47"/>
        <v>274.57134933538845</v>
      </c>
      <c r="X68" s="119">
        <f t="shared" si="47"/>
        <v>277.4005588287431</v>
      </c>
      <c r="Y68" s="119">
        <f t="shared" si="47"/>
        <v>280.25806041703009</v>
      </c>
      <c r="Z68" s="119">
        <f t="shared" si="47"/>
        <v>283.14413702120061</v>
      </c>
      <c r="AA68" s="119">
        <f t="shared" si="47"/>
        <v>286.05907439141208</v>
      </c>
      <c r="AB68" s="119">
        <f t="shared" si="47"/>
        <v>289.00316113532762</v>
      </c>
    </row>
    <row r="69" spans="1:29" x14ac:dyDescent="0.25">
      <c r="A69" s="118"/>
      <c r="B69" s="118" t="s">
        <v>272</v>
      </c>
      <c r="C69" s="118"/>
      <c r="D69" s="120">
        <f>+D37</f>
        <v>0.11200000000000002</v>
      </c>
      <c r="E69" s="120">
        <f t="shared" ref="E69:AB69" si="48">+E37</f>
        <v>0.11200000000000002</v>
      </c>
      <c r="F69" s="120">
        <f t="shared" si="48"/>
        <v>0.11200000000000002</v>
      </c>
      <c r="G69" s="120">
        <f t="shared" si="48"/>
        <v>0.11200000000000002</v>
      </c>
      <c r="H69" s="120">
        <f t="shared" si="48"/>
        <v>0.11200000000000002</v>
      </c>
      <c r="I69" s="120">
        <f t="shared" si="48"/>
        <v>0.11200000000000002</v>
      </c>
      <c r="J69" s="120">
        <f t="shared" si="48"/>
        <v>0.11200000000000002</v>
      </c>
      <c r="K69" s="120">
        <f t="shared" si="48"/>
        <v>0.11200000000000002</v>
      </c>
      <c r="L69" s="120">
        <f t="shared" si="48"/>
        <v>0.11200000000000002</v>
      </c>
      <c r="M69" s="120">
        <f t="shared" si="48"/>
        <v>0.11200000000000002</v>
      </c>
      <c r="N69" s="120">
        <f t="shared" si="48"/>
        <v>0.11200000000000002</v>
      </c>
      <c r="O69" s="120">
        <f t="shared" si="48"/>
        <v>0.11200000000000002</v>
      </c>
      <c r="P69" s="120">
        <f t="shared" si="48"/>
        <v>0.11200000000000002</v>
      </c>
      <c r="Q69" s="120">
        <f t="shared" si="48"/>
        <v>0.11200000000000002</v>
      </c>
      <c r="R69" s="120">
        <f t="shared" si="48"/>
        <v>0.11200000000000002</v>
      </c>
      <c r="S69" s="120">
        <f t="shared" si="48"/>
        <v>0.11200000000000002</v>
      </c>
      <c r="T69" s="120">
        <f t="shared" si="48"/>
        <v>0.11200000000000002</v>
      </c>
      <c r="U69" s="120">
        <f t="shared" si="48"/>
        <v>0.11200000000000002</v>
      </c>
      <c r="V69" s="120">
        <f t="shared" si="48"/>
        <v>0.11200000000000002</v>
      </c>
      <c r="W69" s="120">
        <f t="shared" si="48"/>
        <v>0.11200000000000002</v>
      </c>
      <c r="X69" s="120">
        <f t="shared" si="48"/>
        <v>0.11200000000000002</v>
      </c>
      <c r="Y69" s="120">
        <f t="shared" si="48"/>
        <v>0.11200000000000002</v>
      </c>
      <c r="Z69" s="120">
        <f t="shared" si="48"/>
        <v>0.11200000000000002</v>
      </c>
      <c r="AA69" s="120">
        <f t="shared" si="48"/>
        <v>0.11200000000000002</v>
      </c>
      <c r="AB69" s="120">
        <f t="shared" si="48"/>
        <v>0.11200000000000002</v>
      </c>
      <c r="AC69" s="120"/>
    </row>
    <row r="70" spans="1:29" x14ac:dyDescent="0.25">
      <c r="A70" s="118"/>
      <c r="B70" s="118" t="s">
        <v>296</v>
      </c>
      <c r="C70" s="118"/>
      <c r="D70" s="119">
        <f>1/(1+D69)^D67</f>
        <v>1</v>
      </c>
      <c r="E70" s="121">
        <f>+D70/(1+E69)</f>
        <v>0.89928057553956831</v>
      </c>
      <c r="F70" s="121">
        <f>+E70/(1+F69)</f>
        <v>0.80870555354277718</v>
      </c>
      <c r="G70" s="121">
        <f t="shared" ref="G70:AB70" si="49">+F70/(1+G69)</f>
        <v>0.72725319563199375</v>
      </c>
      <c r="H70" s="121">
        <f t="shared" si="49"/>
        <v>0.65400467233092963</v>
      </c>
      <c r="I70" s="121">
        <f t="shared" si="49"/>
        <v>0.58813369813932515</v>
      </c>
      <c r="J70" s="121">
        <f t="shared" si="49"/>
        <v>0.52889721055694705</v>
      </c>
      <c r="K70" s="121">
        <f t="shared" si="49"/>
        <v>0.47562698791092356</v>
      </c>
      <c r="L70" s="121">
        <f t="shared" si="49"/>
        <v>0.42772211143068661</v>
      </c>
      <c r="M70" s="121">
        <f t="shared" si="49"/>
        <v>0.38464218653838722</v>
      </c>
      <c r="N70" s="121">
        <f t="shared" si="49"/>
        <v>0.34590124688703883</v>
      </c>
      <c r="O70" s="121">
        <f t="shared" si="49"/>
        <v>0.31106227238043055</v>
      </c>
      <c r="P70" s="121">
        <f t="shared" si="49"/>
        <v>0.27973225933491952</v>
      </c>
      <c r="Q70" s="121">
        <f t="shared" si="49"/>
        <v>0.25155778717169019</v>
      </c>
      <c r="R70" s="121">
        <f t="shared" si="49"/>
        <v>0.22622103162921778</v>
      </c>
      <c r="S70" s="121">
        <f t="shared" si="49"/>
        <v>0.20343617952267784</v>
      </c>
      <c r="T70" s="121">
        <f t="shared" si="49"/>
        <v>0.18294620460672467</v>
      </c>
      <c r="U70" s="121">
        <f t="shared" si="49"/>
        <v>0.16451996817151499</v>
      </c>
      <c r="V70" s="121">
        <f t="shared" si="49"/>
        <v>0.14794961166503146</v>
      </c>
      <c r="W70" s="121">
        <f t="shared" si="49"/>
        <v>0.13304821192898511</v>
      </c>
      <c r="X70" s="121">
        <f t="shared" si="49"/>
        <v>0.11964767259800818</v>
      </c>
      <c r="Y70" s="121">
        <f t="shared" si="49"/>
        <v>0.10759682787590663</v>
      </c>
      <c r="Z70" s="121">
        <f t="shared" si="49"/>
        <v>9.6759737298477172E-2</v>
      </c>
      <c r="AA70" s="121">
        <f t="shared" si="49"/>
        <v>8.7014152246831983E-2</v>
      </c>
      <c r="AB70" s="121">
        <f t="shared" si="49"/>
        <v>7.8250136912618687E-2</v>
      </c>
    </row>
    <row r="71" spans="1:29" x14ac:dyDescent="0.25">
      <c r="A71" s="118"/>
      <c r="B71" s="118" t="s">
        <v>297</v>
      </c>
      <c r="C71" s="118"/>
      <c r="D71" s="119">
        <f>+D68*D70</f>
        <v>0</v>
      </c>
      <c r="E71" s="119">
        <f>+E68*E70</f>
        <v>149.22661870503597</v>
      </c>
      <c r="F71" s="119">
        <f t="shared" ref="F71:AB71" si="50">+F68*F70</f>
        <v>174.5995290098856</v>
      </c>
      <c r="G71" s="119">
        <f t="shared" si="50"/>
        <v>170.13361258614862</v>
      </c>
      <c r="H71" s="119">
        <f t="shared" si="50"/>
        <v>35.771439557812528</v>
      </c>
      <c r="I71" s="119">
        <f t="shared" si="50"/>
        <v>-65.214616984480926</v>
      </c>
      <c r="J71" s="119">
        <f t="shared" si="50"/>
        <v>97.272659376791466</v>
      </c>
      <c r="K71" s="119">
        <f t="shared" si="50"/>
        <v>189.34329887143537</v>
      </c>
      <c r="L71" s="119">
        <f t="shared" si="50"/>
        <v>127.21653215860626</v>
      </c>
      <c r="M71" s="119">
        <f t="shared" si="50"/>
        <v>80.18558734328451</v>
      </c>
      <c r="N71" s="119">
        <f t="shared" si="50"/>
        <v>109.20206134597881</v>
      </c>
      <c r="O71" s="119">
        <f t="shared" si="50"/>
        <v>78.674849776616597</v>
      </c>
      <c r="P71" s="119">
        <f t="shared" si="50"/>
        <v>71.481628354206279</v>
      </c>
      <c r="Q71" s="119">
        <f t="shared" si="50"/>
        <v>64.945864354742568</v>
      </c>
      <c r="R71" s="119">
        <f t="shared" si="50"/>
        <v>59.007488369862976</v>
      </c>
      <c r="S71" s="119">
        <f t="shared" si="50"/>
        <v>53.6119170906642</v>
      </c>
      <c r="T71" s="119">
        <f t="shared" si="50"/>
        <v>48.709552489942681</v>
      </c>
      <c r="U71" s="119">
        <f t="shared" si="50"/>
        <v>44.255326700667233</v>
      </c>
      <c r="V71" s="119">
        <f t="shared" si="50"/>
        <v>40.208288423503873</v>
      </c>
      <c r="W71" s="119">
        <f t="shared" si="50"/>
        <v>36.531227076002168</v>
      </c>
      <c r="X71" s="119">
        <f t="shared" si="50"/>
        <v>33.190331241245964</v>
      </c>
      <c r="Y71" s="119">
        <f t="shared" si="50"/>
        <v>30.154878287526628</v>
      </c>
      <c r="Z71" s="119">
        <f t="shared" si="50"/>
        <v>27.396952315775394</v>
      </c>
      <c r="AA71" s="119">
        <f t="shared" si="50"/>
        <v>24.891187850682169</v>
      </c>
      <c r="AB71" s="119">
        <f t="shared" si="50"/>
        <v>22.614536927018985</v>
      </c>
    </row>
    <row r="72" spans="1:29" x14ac:dyDescent="0.25">
      <c r="A72" s="118"/>
      <c r="B72" s="122" t="s">
        <v>298</v>
      </c>
      <c r="C72" s="118"/>
      <c r="D72" s="123">
        <f>+SUM(E71:N71)</f>
        <v>1067.7367219704984</v>
      </c>
      <c r="E72" s="123">
        <f>+SUM(F71:O71)/E70</f>
        <v>1108.8696677827916</v>
      </c>
      <c r="F72" s="123">
        <f t="shared" ref="F72:Q72" si="51">+SUM(G71:P71)/F70</f>
        <v>1105.5532492260882</v>
      </c>
      <c r="G72" s="123">
        <f t="shared" si="51"/>
        <v>1084.7381749480601</v>
      </c>
      <c r="H72" s="123">
        <f t="shared" si="51"/>
        <v>1241.7577233394893</v>
      </c>
      <c r="I72" s="123">
        <f t="shared" si="51"/>
        <v>1582.8745912492411</v>
      </c>
      <c r="J72" s="123">
        <f t="shared" si="51"/>
        <v>1668.3369897643527</v>
      </c>
      <c r="K72" s="123">
        <f t="shared" si="51"/>
        <v>1550.1450227266191</v>
      </c>
      <c r="L72" s="123">
        <f t="shared" si="51"/>
        <v>1520.338899652256</v>
      </c>
      <c r="M72" s="123">
        <f t="shared" si="51"/>
        <v>1577.1234285078765</v>
      </c>
      <c r="N72" s="123">
        <f t="shared" si="51"/>
        <v>1534.0114516867823</v>
      </c>
      <c r="O72" s="123">
        <f t="shared" si="51"/>
        <v>1549.8391968240958</v>
      </c>
      <c r="P72" s="123">
        <f t="shared" si="51"/>
        <v>1565.8252194127824</v>
      </c>
      <c r="Q72" s="123">
        <f t="shared" si="51"/>
        <v>1581.9711022273559</v>
      </c>
      <c r="R72" s="123"/>
      <c r="S72" s="123"/>
      <c r="T72" s="123"/>
      <c r="U72" s="123"/>
      <c r="V72" s="123"/>
    </row>
    <row r="73" spans="1:29" ht="16.5" thickBot="1" x14ac:dyDescent="0.3">
      <c r="A73" s="118"/>
      <c r="B73" s="122" t="s">
        <v>299</v>
      </c>
      <c r="C73" s="118"/>
      <c r="D73" s="123">
        <f>+O68/(O69-O$29)*N70</f>
        <v>857.71012697644755</v>
      </c>
      <c r="E73" s="123">
        <f>+P68/(P69-P$29)*O70/E70</f>
        <v>866.57037893748679</v>
      </c>
      <c r="F73" s="123">
        <f t="shared" ref="F73:Q73" si="52">+Q68/(Q69-Q$29)*P70/F70</f>
        <v>875.51923341813665</v>
      </c>
      <c r="G73" s="123">
        <f t="shared" si="52"/>
        <v>884.55757644359255</v>
      </c>
      <c r="H73" s="123">
        <f t="shared" si="52"/>
        <v>893.68630289930491</v>
      </c>
      <c r="I73" s="123">
        <f t="shared" si="52"/>
        <v>902.9063166195732</v>
      </c>
      <c r="J73" s="123">
        <f t="shared" si="52"/>
        <v>912.21853047704451</v>
      </c>
      <c r="K73" s="123">
        <f t="shared" si="52"/>
        <v>921.62386647308938</v>
      </c>
      <c r="L73" s="123">
        <f t="shared" si="52"/>
        <v>931.12325582909386</v>
      </c>
      <c r="M73" s="123">
        <f t="shared" si="52"/>
        <v>940.71763907866261</v>
      </c>
      <c r="N73" s="123">
        <f t="shared" si="52"/>
        <v>950.40796616072305</v>
      </c>
      <c r="O73" s="123">
        <f t="shared" si="52"/>
        <v>960.19519651360622</v>
      </c>
      <c r="P73" s="123">
        <f t="shared" si="52"/>
        <v>970.08029917001602</v>
      </c>
      <c r="Q73" s="123">
        <f t="shared" si="52"/>
        <v>980.06425285299611</v>
      </c>
      <c r="R73" s="123"/>
      <c r="S73" s="123"/>
      <c r="T73" s="123"/>
      <c r="U73" s="123"/>
      <c r="V73" s="123"/>
    </row>
    <row r="74" spans="1:29" ht="16.5" thickBot="1" x14ac:dyDescent="0.3">
      <c r="A74" s="9"/>
      <c r="B74" s="124" t="s">
        <v>300</v>
      </c>
      <c r="C74" s="132"/>
      <c r="D74" s="125">
        <f>+D72+D73</f>
        <v>1925.4468489469459</v>
      </c>
      <c r="E74" s="125">
        <f t="shared" ref="E74:Q74" si="53">+E72+E73</f>
        <v>1975.4400467202784</v>
      </c>
      <c r="F74" s="125">
        <f t="shared" si="53"/>
        <v>1981.0724826442247</v>
      </c>
      <c r="G74" s="125">
        <f t="shared" si="53"/>
        <v>1969.2957513916526</v>
      </c>
      <c r="H74" s="125">
        <f t="shared" si="53"/>
        <v>2135.4440262387943</v>
      </c>
      <c r="I74" s="125">
        <f t="shared" si="53"/>
        <v>2485.7809078688142</v>
      </c>
      <c r="J74" s="125">
        <f t="shared" si="53"/>
        <v>2580.5555202413971</v>
      </c>
      <c r="K74" s="125">
        <f t="shared" si="53"/>
        <v>2471.7688891997086</v>
      </c>
      <c r="L74" s="125">
        <f t="shared" si="53"/>
        <v>2451.4621554813498</v>
      </c>
      <c r="M74" s="125">
        <f t="shared" si="53"/>
        <v>2517.8410675865389</v>
      </c>
      <c r="N74" s="125">
        <f t="shared" si="53"/>
        <v>2484.4194178475054</v>
      </c>
      <c r="O74" s="125">
        <f t="shared" si="53"/>
        <v>2510.0343933377021</v>
      </c>
      <c r="P74" s="125">
        <f t="shared" si="53"/>
        <v>2535.9055185827983</v>
      </c>
      <c r="Q74" s="125">
        <f t="shared" si="53"/>
        <v>2562.035355080352</v>
      </c>
    </row>
    <row r="75" spans="1:29" ht="16.5" thickBot="1" x14ac:dyDescent="0.3">
      <c r="A75" s="9"/>
      <c r="B75" s="118" t="s">
        <v>301</v>
      </c>
      <c r="C75" s="45"/>
      <c r="D75" s="103">
        <f>-D14</f>
        <v>-700</v>
      </c>
      <c r="E75" s="103">
        <f t="shared" ref="E75:Q75" si="54">-E14</f>
        <v>-750</v>
      </c>
      <c r="F75" s="103">
        <f t="shared" si="54"/>
        <v>-700</v>
      </c>
      <c r="G75" s="103">
        <f t="shared" si="54"/>
        <v>-630</v>
      </c>
      <c r="H75" s="103">
        <f t="shared" si="54"/>
        <v>-730</v>
      </c>
      <c r="I75" s="103">
        <f t="shared" si="54"/>
        <v>-980</v>
      </c>
      <c r="J75" s="103">
        <f t="shared" si="54"/>
        <v>-1010</v>
      </c>
      <c r="K75" s="103">
        <f t="shared" si="54"/>
        <v>-840</v>
      </c>
      <c r="L75" s="103">
        <f t="shared" si="54"/>
        <v>-790</v>
      </c>
      <c r="M75" s="103">
        <f t="shared" si="54"/>
        <v>-840</v>
      </c>
      <c r="N75" s="103">
        <f t="shared" si="54"/>
        <v>-787</v>
      </c>
      <c r="O75" s="103">
        <f t="shared" si="54"/>
        <v>-796.99999999999955</v>
      </c>
      <c r="P75" s="103">
        <f t="shared" si="54"/>
        <v>-807.09999999999945</v>
      </c>
      <c r="Q75" s="103">
        <f t="shared" si="54"/>
        <v>-817.30099999999993</v>
      </c>
    </row>
    <row r="76" spans="1:29" ht="16.5" thickBot="1" x14ac:dyDescent="0.3">
      <c r="A76" s="126" t="s">
        <v>302</v>
      </c>
      <c r="B76" s="127" t="s">
        <v>303</v>
      </c>
      <c r="C76" s="133"/>
      <c r="D76" s="128">
        <f t="shared" ref="D76:Q76" si="55">+D74+D75</f>
        <v>1225.4468489469459</v>
      </c>
      <c r="E76" s="128">
        <f t="shared" si="55"/>
        <v>1225.4400467202784</v>
      </c>
      <c r="F76" s="128">
        <f t="shared" si="55"/>
        <v>1281.0724826442247</v>
      </c>
      <c r="G76" s="128">
        <f t="shared" si="55"/>
        <v>1339.2957513916526</v>
      </c>
      <c r="H76" s="128">
        <f t="shared" si="55"/>
        <v>1405.4440262387943</v>
      </c>
      <c r="I76" s="128">
        <f t="shared" si="55"/>
        <v>1505.7809078688142</v>
      </c>
      <c r="J76" s="128">
        <f t="shared" si="55"/>
        <v>1570.5555202413971</v>
      </c>
      <c r="K76" s="128">
        <f t="shared" si="55"/>
        <v>1631.7688891997086</v>
      </c>
      <c r="L76" s="128">
        <f t="shared" si="55"/>
        <v>1661.4621554813498</v>
      </c>
      <c r="M76" s="128">
        <f t="shared" si="55"/>
        <v>1677.8410675865389</v>
      </c>
      <c r="N76" s="128">
        <f t="shared" si="55"/>
        <v>1697.4194178475054</v>
      </c>
      <c r="O76" s="128">
        <f t="shared" si="55"/>
        <v>1713.0343933377026</v>
      </c>
      <c r="P76" s="128">
        <f t="shared" si="55"/>
        <v>1728.8055185827989</v>
      </c>
      <c r="Q76" s="128">
        <f t="shared" si="55"/>
        <v>1744.7343550803521</v>
      </c>
    </row>
    <row r="77" spans="1:29" ht="16.5" thickBot="1" x14ac:dyDescent="0.3"/>
    <row r="78" spans="1:29" x14ac:dyDescent="0.25">
      <c r="A78" s="118"/>
      <c r="B78" s="118" t="s">
        <v>304</v>
      </c>
      <c r="C78" s="118"/>
      <c r="D78" s="101">
        <v>0</v>
      </c>
      <c r="E78" s="101">
        <v>1</v>
      </c>
      <c r="F78" s="101">
        <f t="shared" ref="F78:N78" si="56">E78+1</f>
        <v>2</v>
      </c>
      <c r="G78" s="101">
        <f t="shared" si="56"/>
        <v>3</v>
      </c>
      <c r="H78" s="101">
        <f t="shared" si="56"/>
        <v>4</v>
      </c>
      <c r="I78" s="101">
        <f t="shared" si="56"/>
        <v>5</v>
      </c>
      <c r="J78" s="101">
        <f t="shared" si="56"/>
        <v>6</v>
      </c>
      <c r="K78" s="101">
        <f t="shared" si="56"/>
        <v>7</v>
      </c>
      <c r="L78" s="101">
        <f t="shared" si="56"/>
        <v>8</v>
      </c>
      <c r="M78" s="101">
        <f t="shared" si="56"/>
        <v>9</v>
      </c>
      <c r="N78" s="101">
        <f t="shared" si="56"/>
        <v>10</v>
      </c>
      <c r="O78" s="101">
        <f>N78+1</f>
        <v>11</v>
      </c>
      <c r="P78" s="101">
        <f t="shared" ref="P78:AB78" si="57">O78+1</f>
        <v>12</v>
      </c>
      <c r="Q78" s="101">
        <f t="shared" si="57"/>
        <v>13</v>
      </c>
      <c r="R78" s="101">
        <f t="shared" si="57"/>
        <v>14</v>
      </c>
      <c r="S78" s="101">
        <f t="shared" si="57"/>
        <v>15</v>
      </c>
      <c r="T78" s="101">
        <f t="shared" si="57"/>
        <v>16</v>
      </c>
      <c r="U78" s="101">
        <f t="shared" si="57"/>
        <v>17</v>
      </c>
      <c r="V78" s="101">
        <f t="shared" si="57"/>
        <v>18</v>
      </c>
      <c r="W78" s="101">
        <f t="shared" si="57"/>
        <v>19</v>
      </c>
      <c r="X78" s="101">
        <f t="shared" si="57"/>
        <v>20</v>
      </c>
      <c r="Y78" s="101">
        <f t="shared" si="57"/>
        <v>21</v>
      </c>
      <c r="Z78" s="101">
        <f t="shared" si="57"/>
        <v>22</v>
      </c>
      <c r="AA78" s="101">
        <f t="shared" si="57"/>
        <v>23</v>
      </c>
      <c r="AB78" s="101">
        <f t="shared" si="57"/>
        <v>24</v>
      </c>
    </row>
    <row r="79" spans="1:29" x14ac:dyDescent="0.25">
      <c r="A79" s="118"/>
      <c r="B79" s="118" t="s">
        <v>305</v>
      </c>
      <c r="C79" s="118"/>
      <c r="D79" s="119">
        <f t="shared" ref="D79:AB79" si="58">+D52</f>
        <v>0</v>
      </c>
      <c r="E79" s="119">
        <f t="shared" si="58"/>
        <v>138.5</v>
      </c>
      <c r="F79" s="119">
        <f t="shared" si="58"/>
        <v>186.5</v>
      </c>
      <c r="G79" s="119">
        <f t="shared" si="58"/>
        <v>206.5</v>
      </c>
      <c r="H79" s="119">
        <f t="shared" si="58"/>
        <v>30</v>
      </c>
      <c r="I79" s="119">
        <f t="shared" si="58"/>
        <v>-139.5</v>
      </c>
      <c r="J79" s="119">
        <f t="shared" si="58"/>
        <v>145.5</v>
      </c>
      <c r="K79" s="119">
        <f t="shared" si="58"/>
        <v>358.5</v>
      </c>
      <c r="L79" s="119">
        <f t="shared" si="58"/>
        <v>264.5</v>
      </c>
      <c r="M79" s="119">
        <f t="shared" si="58"/>
        <v>177.5</v>
      </c>
      <c r="N79" s="119">
        <f t="shared" si="58"/>
        <v>282.77499999999998</v>
      </c>
      <c r="O79" s="119">
        <f t="shared" si="58"/>
        <v>222.07275000000033</v>
      </c>
      <c r="P79" s="119">
        <f t="shared" si="58"/>
        <v>224.29347750000022</v>
      </c>
      <c r="Q79" s="119">
        <f t="shared" si="58"/>
        <v>226.53641227500015</v>
      </c>
      <c r="R79" s="119">
        <f t="shared" si="58"/>
        <v>228.80177639774993</v>
      </c>
      <c r="S79" s="119">
        <f t="shared" si="58"/>
        <v>231.08979416172772</v>
      </c>
      <c r="T79" s="119">
        <f t="shared" si="58"/>
        <v>233.40069210334502</v>
      </c>
      <c r="U79" s="119">
        <f t="shared" si="58"/>
        <v>235.7346990243785</v>
      </c>
      <c r="V79" s="119">
        <f t="shared" si="58"/>
        <v>238.0920460146221</v>
      </c>
      <c r="W79" s="119">
        <f t="shared" si="58"/>
        <v>240.47296647476773</v>
      </c>
      <c r="X79" s="119">
        <f t="shared" si="58"/>
        <v>242.87769613951616</v>
      </c>
      <c r="Y79" s="119">
        <f t="shared" si="58"/>
        <v>245.30647310091089</v>
      </c>
      <c r="Z79" s="119">
        <f t="shared" si="58"/>
        <v>247.7595378319202</v>
      </c>
      <c r="AA79" s="119">
        <f t="shared" si="58"/>
        <v>250.23713321023888</v>
      </c>
      <c r="AB79" s="119">
        <f t="shared" si="58"/>
        <v>252.73950454234264</v>
      </c>
    </row>
    <row r="80" spans="1:29" x14ac:dyDescent="0.25">
      <c r="A80" s="118"/>
      <c r="B80" s="118" t="s">
        <v>278</v>
      </c>
      <c r="C80" s="118"/>
      <c r="D80" s="120">
        <f t="shared" ref="D80:AB80" si="59">+D40</f>
        <v>0</v>
      </c>
      <c r="E80" s="120">
        <f t="shared" si="59"/>
        <v>9.8457748049120372E-2</v>
      </c>
      <c r="F80" s="120">
        <f t="shared" si="59"/>
        <v>9.600615619865327E-2</v>
      </c>
      <c r="G80" s="120">
        <f t="shared" si="59"/>
        <v>9.680686940049292E-2</v>
      </c>
      <c r="H80" s="120">
        <f t="shared" si="59"/>
        <v>0.10036945985258243</v>
      </c>
      <c r="I80" s="120">
        <f t="shared" si="59"/>
        <v>0.1009607323965796</v>
      </c>
      <c r="J80" s="120">
        <f t="shared" si="59"/>
        <v>9.6417694869840864E-2</v>
      </c>
      <c r="K80" s="120">
        <f t="shared" si="59"/>
        <v>9.4525754891563743E-2</v>
      </c>
      <c r="L80" s="120">
        <f t="shared" si="59"/>
        <v>9.7970193017132223E-2</v>
      </c>
      <c r="M80" s="120">
        <f t="shared" si="59"/>
        <v>9.9833032722505169E-2</v>
      </c>
      <c r="N80" s="120">
        <f t="shared" si="59"/>
        <v>9.8249047419085744E-2</v>
      </c>
      <c r="O80" s="120">
        <f t="shared" si="59"/>
        <v>9.9612504824166309E-2</v>
      </c>
      <c r="P80" s="120">
        <f t="shared" si="59"/>
        <v>9.9582769809080124E-2</v>
      </c>
      <c r="Q80" s="120">
        <f t="shared" si="59"/>
        <v>9.9553346761545619E-2</v>
      </c>
      <c r="R80" s="120">
        <f t="shared" si="59"/>
        <v>9.9553346761545619E-2</v>
      </c>
      <c r="S80" s="120">
        <f t="shared" si="59"/>
        <v>9.9553346761545619E-2</v>
      </c>
      <c r="T80" s="120">
        <f t="shared" si="59"/>
        <v>9.9553346761545619E-2</v>
      </c>
      <c r="U80" s="120">
        <f t="shared" si="59"/>
        <v>9.9553346761545619E-2</v>
      </c>
      <c r="V80" s="120">
        <f t="shared" si="59"/>
        <v>9.9553346761545619E-2</v>
      </c>
      <c r="W80" s="120">
        <f t="shared" si="59"/>
        <v>9.9553346761545619E-2</v>
      </c>
      <c r="X80" s="120">
        <f t="shared" si="59"/>
        <v>9.9553346761545619E-2</v>
      </c>
      <c r="Y80" s="120">
        <f t="shared" si="59"/>
        <v>9.9553346761545619E-2</v>
      </c>
      <c r="Z80" s="120">
        <f t="shared" si="59"/>
        <v>9.9553346761545619E-2</v>
      </c>
      <c r="AA80" s="120">
        <f t="shared" si="59"/>
        <v>9.9553346761545619E-2</v>
      </c>
      <c r="AB80" s="120">
        <f t="shared" si="59"/>
        <v>0</v>
      </c>
      <c r="AC80" s="120"/>
    </row>
    <row r="81" spans="1:29" x14ac:dyDescent="0.25">
      <c r="A81" s="118"/>
      <c r="B81" s="118" t="s">
        <v>296</v>
      </c>
      <c r="C81" s="118"/>
      <c r="D81" s="119">
        <f>1/(1+D80)^D78</f>
        <v>1</v>
      </c>
      <c r="E81" s="121">
        <f>+D81/(1+E80)</f>
        <v>0.91036728702220626</v>
      </c>
      <c r="F81" s="121">
        <f>+E81/(1+F80)</f>
        <v>0.83062242111822637</v>
      </c>
      <c r="G81" s="121">
        <f t="shared" ref="G81:AB81" si="60">+F81/(1+G80)</f>
        <v>0.75730964519965027</v>
      </c>
      <c r="H81" s="121">
        <f t="shared" si="60"/>
        <v>0.68823215549903372</v>
      </c>
      <c r="I81" s="121">
        <f t="shared" si="60"/>
        <v>0.62511962075239946</v>
      </c>
      <c r="J81" s="121">
        <f t="shared" si="60"/>
        <v>0.57014732950530256</v>
      </c>
      <c r="K81" s="121">
        <f t="shared" si="60"/>
        <v>0.52090809828571638</v>
      </c>
      <c r="L81" s="121">
        <f t="shared" si="60"/>
        <v>0.47442826918124581</v>
      </c>
      <c r="M81" s="121">
        <f t="shared" si="60"/>
        <v>0.43136390257969914</v>
      </c>
      <c r="N81" s="121">
        <f t="shared" si="60"/>
        <v>0.39277421054306005</v>
      </c>
      <c r="O81" s="121">
        <f t="shared" si="60"/>
        <v>0.3571932920186886</v>
      </c>
      <c r="P81" s="121">
        <f t="shared" si="60"/>
        <v>0.32484438809522986</v>
      </c>
      <c r="Q81" s="121">
        <f t="shared" si="60"/>
        <v>0.29543304019943756</v>
      </c>
      <c r="R81" s="121">
        <f t="shared" si="60"/>
        <v>0.26868459003790979</v>
      </c>
      <c r="S81" s="121">
        <f t="shared" si="60"/>
        <v>0.24435793936624522</v>
      </c>
      <c r="T81" s="121">
        <f t="shared" si="60"/>
        <v>0.22223381892833058</v>
      </c>
      <c r="U81" s="121">
        <f t="shared" si="60"/>
        <v>0.20211281206397461</v>
      </c>
      <c r="V81" s="121">
        <f t="shared" si="60"/>
        <v>0.18381355725872364</v>
      </c>
      <c r="W81" s="121">
        <f t="shared" si="60"/>
        <v>0.16717111343446833</v>
      </c>
      <c r="X81" s="121">
        <f t="shared" si="60"/>
        <v>0.15203547324632158</v>
      </c>
      <c r="Y81" s="121">
        <f t="shared" si="60"/>
        <v>0.13827021098530903</v>
      </c>
      <c r="Z81" s="121">
        <f t="shared" si="60"/>
        <v>0.12575125289968761</v>
      </c>
      <c r="AA81" s="121">
        <f t="shared" si="60"/>
        <v>0.11436575885113341</v>
      </c>
      <c r="AB81" s="121">
        <f t="shared" si="60"/>
        <v>0.11436575885113341</v>
      </c>
    </row>
    <row r="82" spans="1:29" x14ac:dyDescent="0.25">
      <c r="A82" s="118"/>
      <c r="B82" s="118" t="s">
        <v>297</v>
      </c>
      <c r="C82" s="118"/>
      <c r="D82" s="119">
        <f>+D79*D81</f>
        <v>0</v>
      </c>
      <c r="E82" s="119">
        <f>+E79*E81</f>
        <v>126.08586925257556</v>
      </c>
      <c r="F82" s="119">
        <f t="shared" ref="F82:AB82" si="61">+F79*F81</f>
        <v>154.91108153854921</v>
      </c>
      <c r="G82" s="119">
        <f t="shared" si="61"/>
        <v>156.38444173372778</v>
      </c>
      <c r="H82" s="119">
        <f t="shared" si="61"/>
        <v>20.646964664971012</v>
      </c>
      <c r="I82" s="119">
        <f t="shared" si="61"/>
        <v>-87.204187094959721</v>
      </c>
      <c r="J82" s="119">
        <f t="shared" si="61"/>
        <v>82.956436443021516</v>
      </c>
      <c r="K82" s="119">
        <f t="shared" si="61"/>
        <v>186.74555323542933</v>
      </c>
      <c r="L82" s="119">
        <f t="shared" si="61"/>
        <v>125.48627719843952</v>
      </c>
      <c r="M82" s="119">
        <f t="shared" si="61"/>
        <v>76.567092707896592</v>
      </c>
      <c r="N82" s="119">
        <f t="shared" si="61"/>
        <v>111.0667273863138</v>
      </c>
      <c r="O82" s="119">
        <f t="shared" si="61"/>
        <v>79.322896640143341</v>
      </c>
      <c r="P82" s="119">
        <f t="shared" si="61"/>
        <v>72.860477452238783</v>
      </c>
      <c r="Q82" s="119">
        <f t="shared" si="61"/>
        <v>66.926340994276472</v>
      </c>
      <c r="R82" s="119">
        <f t="shared" si="61"/>
        <v>61.475511491374945</v>
      </c>
      <c r="S82" s="119">
        <f t="shared" si="61"/>
        <v>56.46862590992955</v>
      </c>
      <c r="T82" s="119">
        <f t="shared" si="61"/>
        <v>51.869527146641815</v>
      </c>
      <c r="U82" s="119">
        <f t="shared" si="61"/>
        <v>47.645002920871832</v>
      </c>
      <c r="V82" s="119">
        <f t="shared" si="61"/>
        <v>43.7645459329554</v>
      </c>
      <c r="W82" s="119">
        <f t="shared" si="61"/>
        <v>40.200133556476494</v>
      </c>
      <c r="X82" s="119">
        <f t="shared" si="61"/>
        <v>36.926025473547632</v>
      </c>
      <c r="Y82" s="119">
        <f t="shared" si="61"/>
        <v>33.918577791724985</v>
      </c>
      <c r="Z82" s="119">
        <f t="shared" si="61"/>
        <v>31.156072300211516</v>
      </c>
      <c r="AA82" s="119">
        <f t="shared" si="61"/>
        <v>28.618559632321126</v>
      </c>
      <c r="AB82" s="119">
        <f t="shared" si="61"/>
        <v>28.904745228644497</v>
      </c>
    </row>
    <row r="83" spans="1:29" x14ac:dyDescent="0.25">
      <c r="A83" s="118"/>
      <c r="B83" s="118" t="s">
        <v>306</v>
      </c>
      <c r="C83" s="118"/>
      <c r="D83" s="123">
        <f>+SUM(E82:N82)</f>
        <v>953.64625706596462</v>
      </c>
      <c r="E83" s="123">
        <f>+SUM(F82:O82)/E81</f>
        <v>996.17297038421714</v>
      </c>
      <c r="F83" s="123">
        <f t="shared" ref="F83:N83" si="62">+SUM(G82:P82)/F81</f>
        <v>993.02963584439476</v>
      </c>
      <c r="G83" s="123">
        <f t="shared" si="62"/>
        <v>971.03553914713848</v>
      </c>
      <c r="H83" s="123">
        <f t="shared" si="62"/>
        <v>1127.821651825253</v>
      </c>
      <c r="I83" s="123">
        <f t="shared" si="62"/>
        <v>1471.5198642331736</v>
      </c>
      <c r="J83" s="123">
        <f t="shared" si="62"/>
        <v>1558.8760731964771</v>
      </c>
      <c r="K83" s="123">
        <f t="shared" si="62"/>
        <v>1439.1952866836116</v>
      </c>
      <c r="L83" s="123">
        <f t="shared" si="62"/>
        <v>1407.9404453183186</v>
      </c>
      <c r="M83" s="123">
        <f t="shared" si="62"/>
        <v>1464.192496530299</v>
      </c>
      <c r="N83" s="123">
        <f t="shared" si="62"/>
        <v>1419.2863802022505</v>
      </c>
      <c r="O83" s="119"/>
    </row>
    <row r="84" spans="1:29" ht="16.5" thickBot="1" x14ac:dyDescent="0.3">
      <c r="A84" s="118"/>
      <c r="B84" s="118" t="s">
        <v>307</v>
      </c>
      <c r="C84" s="118"/>
      <c r="D84" s="123">
        <f>+O79/(O80-O$29)*N81</f>
        <v>973.35131113145894</v>
      </c>
      <c r="E84" s="123">
        <f t="shared" ref="E84:N84" si="63">+P79/(P80-P$29)*O81/E81</f>
        <v>982.37840941669003</v>
      </c>
      <c r="F84" s="123">
        <f t="shared" si="63"/>
        <v>989.29978772477477</v>
      </c>
      <c r="G84" s="123">
        <f t="shared" si="63"/>
        <v>996.69699003824485</v>
      </c>
      <c r="H84" s="123">
        <f t="shared" si="63"/>
        <v>1007.4111284488246</v>
      </c>
      <c r="I84" s="123">
        <f t="shared" si="63"/>
        <v>1018.7875813745593</v>
      </c>
      <c r="J84" s="123">
        <f t="shared" si="63"/>
        <v>1026.0410758339551</v>
      </c>
      <c r="K84" s="123">
        <f t="shared" si="63"/>
        <v>1031.5631071910698</v>
      </c>
      <c r="L84" s="123">
        <f t="shared" si="63"/>
        <v>1040.3786253029618</v>
      </c>
      <c r="M84" s="123">
        <f t="shared" si="63"/>
        <v>1051.0496919834529</v>
      </c>
      <c r="N84" s="123">
        <f t="shared" si="63"/>
        <v>1060.3009573612726</v>
      </c>
      <c r="O84" s="119"/>
    </row>
    <row r="85" spans="1:29" ht="16.5" thickBot="1" x14ac:dyDescent="0.3">
      <c r="A85" s="9"/>
      <c r="B85" s="129" t="s">
        <v>300</v>
      </c>
      <c r="C85" s="132"/>
      <c r="D85" s="125">
        <f>+D83+D84</f>
        <v>1926.9975681974236</v>
      </c>
      <c r="E85" s="125">
        <f t="shared" ref="E85:N85" si="64">+E83+E84</f>
        <v>1978.5513798009072</v>
      </c>
      <c r="F85" s="125">
        <f t="shared" si="64"/>
        <v>1982.3294235691696</v>
      </c>
      <c r="G85" s="125">
        <f t="shared" si="64"/>
        <v>1967.7325291853833</v>
      </c>
      <c r="H85" s="125">
        <f t="shared" si="64"/>
        <v>2135.2327802740774</v>
      </c>
      <c r="I85" s="125">
        <f t="shared" si="64"/>
        <v>2490.3074456077329</v>
      </c>
      <c r="J85" s="125">
        <f t="shared" si="64"/>
        <v>2584.9171490304325</v>
      </c>
      <c r="K85" s="125">
        <f t="shared" si="64"/>
        <v>2470.7583938746811</v>
      </c>
      <c r="L85" s="125">
        <f t="shared" si="64"/>
        <v>2448.3190706212804</v>
      </c>
      <c r="M85" s="125">
        <f t="shared" si="64"/>
        <v>2515.2421885137519</v>
      </c>
      <c r="N85" s="125">
        <f t="shared" si="64"/>
        <v>2479.5873375635229</v>
      </c>
      <c r="O85" s="9"/>
    </row>
    <row r="86" spans="1:29" ht="16.5" thickBot="1" x14ac:dyDescent="0.3">
      <c r="A86" s="9"/>
      <c r="B86" s="118" t="s">
        <v>301</v>
      </c>
      <c r="C86" s="45"/>
      <c r="D86" s="103">
        <f t="shared" ref="D86:N86" si="65">-D14</f>
        <v>-700</v>
      </c>
      <c r="E86" s="103">
        <f t="shared" si="65"/>
        <v>-750</v>
      </c>
      <c r="F86" s="103">
        <f t="shared" si="65"/>
        <v>-700</v>
      </c>
      <c r="G86" s="103">
        <f t="shared" si="65"/>
        <v>-630</v>
      </c>
      <c r="H86" s="103">
        <f t="shared" si="65"/>
        <v>-730</v>
      </c>
      <c r="I86" s="103">
        <f t="shared" si="65"/>
        <v>-980</v>
      </c>
      <c r="J86" s="103">
        <f t="shared" si="65"/>
        <v>-1010</v>
      </c>
      <c r="K86" s="103">
        <f t="shared" si="65"/>
        <v>-840</v>
      </c>
      <c r="L86" s="103">
        <f t="shared" si="65"/>
        <v>-790</v>
      </c>
      <c r="M86" s="103">
        <f t="shared" si="65"/>
        <v>-840</v>
      </c>
      <c r="N86" s="103">
        <f t="shared" si="65"/>
        <v>-787</v>
      </c>
      <c r="O86" s="9"/>
    </row>
    <row r="87" spans="1:29" ht="16.5" thickBot="1" x14ac:dyDescent="0.3">
      <c r="A87" s="126" t="s">
        <v>308</v>
      </c>
      <c r="B87" s="127" t="s">
        <v>303</v>
      </c>
      <c r="C87" s="133"/>
      <c r="D87" s="128">
        <f t="shared" ref="D87:N87" si="66">+D85+D86</f>
        <v>1226.9975681974236</v>
      </c>
      <c r="E87" s="128">
        <f t="shared" si="66"/>
        <v>1228.5513798009072</v>
      </c>
      <c r="F87" s="128">
        <f t="shared" si="66"/>
        <v>1282.3294235691696</v>
      </c>
      <c r="G87" s="128">
        <f t="shared" si="66"/>
        <v>1337.7325291853833</v>
      </c>
      <c r="H87" s="128">
        <f t="shared" si="66"/>
        <v>1405.2327802740774</v>
      </c>
      <c r="I87" s="128">
        <f t="shared" si="66"/>
        <v>1510.3074456077329</v>
      </c>
      <c r="J87" s="128">
        <f t="shared" si="66"/>
        <v>1574.9171490304325</v>
      </c>
      <c r="K87" s="128">
        <f t="shared" si="66"/>
        <v>1630.7583938746811</v>
      </c>
      <c r="L87" s="128">
        <f t="shared" si="66"/>
        <v>1658.3190706212804</v>
      </c>
      <c r="M87" s="128">
        <f t="shared" si="66"/>
        <v>1675.2421885137519</v>
      </c>
      <c r="N87" s="128">
        <f t="shared" si="66"/>
        <v>1692.5873375635229</v>
      </c>
      <c r="O87" s="9"/>
    </row>
    <row r="88" spans="1:29" ht="16.5" thickBot="1" x14ac:dyDescent="0.3"/>
    <row r="89" spans="1:29" x14ac:dyDescent="0.25">
      <c r="A89" s="118"/>
      <c r="B89" s="118" t="s">
        <v>309</v>
      </c>
      <c r="C89" s="118"/>
      <c r="D89" s="101">
        <v>0</v>
      </c>
      <c r="E89" s="101">
        <v>1</v>
      </c>
      <c r="F89" s="101">
        <f t="shared" ref="F89:N89" si="67">E89+1</f>
        <v>2</v>
      </c>
      <c r="G89" s="101">
        <f t="shared" si="67"/>
        <v>3</v>
      </c>
      <c r="H89" s="101">
        <f t="shared" si="67"/>
        <v>4</v>
      </c>
      <c r="I89" s="101">
        <f t="shared" si="67"/>
        <v>5</v>
      </c>
      <c r="J89" s="101">
        <f t="shared" si="67"/>
        <v>6</v>
      </c>
      <c r="K89" s="101">
        <f t="shared" si="67"/>
        <v>7</v>
      </c>
      <c r="L89" s="101">
        <f t="shared" si="67"/>
        <v>8</v>
      </c>
      <c r="M89" s="101">
        <f t="shared" si="67"/>
        <v>9</v>
      </c>
      <c r="N89" s="101">
        <f t="shared" si="67"/>
        <v>10</v>
      </c>
      <c r="O89" s="101">
        <f>N89+1</f>
        <v>11</v>
      </c>
      <c r="P89" s="101">
        <f t="shared" ref="P89:AB89" si="68">O89+1</f>
        <v>12</v>
      </c>
      <c r="Q89" s="101">
        <f t="shared" si="68"/>
        <v>13</v>
      </c>
      <c r="R89" s="101">
        <f t="shared" si="68"/>
        <v>14</v>
      </c>
      <c r="S89" s="101">
        <f t="shared" si="68"/>
        <v>15</v>
      </c>
      <c r="T89" s="101">
        <f t="shared" si="68"/>
        <v>16</v>
      </c>
      <c r="U89" s="101">
        <f t="shared" si="68"/>
        <v>17</v>
      </c>
      <c r="V89" s="101">
        <f t="shared" si="68"/>
        <v>18</v>
      </c>
      <c r="W89" s="101">
        <f t="shared" si="68"/>
        <v>19</v>
      </c>
      <c r="X89" s="101">
        <f t="shared" si="68"/>
        <v>20</v>
      </c>
      <c r="Y89" s="101">
        <f t="shared" si="68"/>
        <v>21</v>
      </c>
      <c r="Z89" s="101">
        <f t="shared" si="68"/>
        <v>22</v>
      </c>
      <c r="AA89" s="101">
        <f t="shared" si="68"/>
        <v>23</v>
      </c>
      <c r="AB89" s="101">
        <f t="shared" si="68"/>
        <v>24</v>
      </c>
    </row>
    <row r="90" spans="1:29" x14ac:dyDescent="0.25">
      <c r="A90" s="118"/>
      <c r="B90" s="118" t="s">
        <v>310</v>
      </c>
      <c r="C90" s="118"/>
      <c r="D90" s="130">
        <f t="shared" ref="D90:AB90" si="69">+D64</f>
        <v>0</v>
      </c>
      <c r="E90" s="119">
        <f t="shared" si="69"/>
        <v>156.26249999999999</v>
      </c>
      <c r="F90" s="119">
        <f t="shared" si="69"/>
        <v>204.26249999999999</v>
      </c>
      <c r="G90" s="119">
        <f t="shared" si="69"/>
        <v>222.79250000000002</v>
      </c>
      <c r="H90" s="119">
        <f t="shared" si="69"/>
        <v>46.660000000000004</v>
      </c>
      <c r="I90" s="119">
        <f t="shared" si="69"/>
        <v>-118.55250000000002</v>
      </c>
      <c r="J90" s="119">
        <f t="shared" si="69"/>
        <v>169.87750000000003</v>
      </c>
      <c r="K90" s="119">
        <f t="shared" si="69"/>
        <v>381.16250000000002</v>
      </c>
      <c r="L90" s="119">
        <f t="shared" si="69"/>
        <v>284.46750000000003</v>
      </c>
      <c r="M90" s="119">
        <f t="shared" si="69"/>
        <v>197.46750000000003</v>
      </c>
      <c r="N90" s="119">
        <f t="shared" si="69"/>
        <v>302.70575000000002</v>
      </c>
      <c r="O90" s="119">
        <f t="shared" si="69"/>
        <v>242.20280750000035</v>
      </c>
      <c r="P90" s="119">
        <f t="shared" si="69"/>
        <v>244.62483557500025</v>
      </c>
      <c r="Q90" s="119">
        <f t="shared" si="69"/>
        <v>247.07108393075012</v>
      </c>
      <c r="R90" s="119">
        <f t="shared" si="69"/>
        <v>249.54179477005749</v>
      </c>
      <c r="S90" s="119">
        <f t="shared" si="69"/>
        <v>252.03721271775842</v>
      </c>
      <c r="T90" s="119">
        <f t="shared" si="69"/>
        <v>254.55758484493586</v>
      </c>
      <c r="U90" s="119">
        <f t="shared" si="69"/>
        <v>257.10316069338529</v>
      </c>
      <c r="V90" s="119">
        <f t="shared" si="69"/>
        <v>259.67419230031891</v>
      </c>
      <c r="W90" s="119">
        <f t="shared" si="69"/>
        <v>262.27093422332166</v>
      </c>
      <c r="X90" s="119">
        <f t="shared" si="69"/>
        <v>264.89364356555558</v>
      </c>
      <c r="Y90" s="119">
        <f t="shared" si="69"/>
        <v>267.54258000121064</v>
      </c>
      <c r="Z90" s="119">
        <f t="shared" si="69"/>
        <v>270.21800580122294</v>
      </c>
      <c r="AA90" s="119">
        <f t="shared" si="69"/>
        <v>272.92018585923461</v>
      </c>
      <c r="AB90" s="119">
        <f t="shared" si="69"/>
        <v>275.6493877178284</v>
      </c>
    </row>
    <row r="91" spans="1:29" x14ac:dyDescent="0.25">
      <c r="A91" s="118"/>
      <c r="B91" s="118" t="s">
        <v>311</v>
      </c>
      <c r="C91" s="118"/>
      <c r="D91" s="120"/>
      <c r="E91" s="120">
        <f t="shared" ref="E91:AB91" si="70">+E41</f>
        <v>0.10736477137691547</v>
      </c>
      <c r="F91" s="120">
        <f t="shared" si="70"/>
        <v>0.10530788116393737</v>
      </c>
      <c r="G91" s="120">
        <f t="shared" si="70"/>
        <v>0.10546379646916289</v>
      </c>
      <c r="H91" s="120">
        <f t="shared" si="70"/>
        <v>0.10820728715155084</v>
      </c>
      <c r="I91" s="120">
        <f t="shared" si="70"/>
        <v>0.1093360397238811</v>
      </c>
      <c r="J91" s="120">
        <f t="shared" si="70"/>
        <v>0.10607663139316664</v>
      </c>
      <c r="K91" s="120">
        <f t="shared" si="70"/>
        <v>0.10411477547488576</v>
      </c>
      <c r="L91" s="120">
        <f t="shared" si="70"/>
        <v>0.10629621414715107</v>
      </c>
      <c r="M91" s="120">
        <f t="shared" si="70"/>
        <v>0.10772832082912479</v>
      </c>
      <c r="N91" s="120">
        <f t="shared" si="70"/>
        <v>0.10642271662519129</v>
      </c>
      <c r="O91" s="120">
        <f t="shared" si="70"/>
        <v>0.10737347298497123</v>
      </c>
      <c r="P91" s="120">
        <f t="shared" si="70"/>
        <v>0.10736214528370649</v>
      </c>
      <c r="Q91" s="120">
        <f t="shared" si="70"/>
        <v>0.10735093616505414</v>
      </c>
      <c r="R91" s="120">
        <f t="shared" si="70"/>
        <v>0.10735093616505414</v>
      </c>
      <c r="S91" s="120">
        <f t="shared" si="70"/>
        <v>0.10735093616505414</v>
      </c>
      <c r="T91" s="120">
        <f t="shared" si="70"/>
        <v>0.10735093616505414</v>
      </c>
      <c r="U91" s="120">
        <f t="shared" si="70"/>
        <v>0.10735093616505414</v>
      </c>
      <c r="V91" s="120">
        <f t="shared" si="70"/>
        <v>0.10735093616505414</v>
      </c>
      <c r="W91" s="120">
        <f t="shared" si="70"/>
        <v>0.10735093616505414</v>
      </c>
      <c r="X91" s="120">
        <f t="shared" si="70"/>
        <v>0.10735093616505414</v>
      </c>
      <c r="Y91" s="120">
        <f t="shared" si="70"/>
        <v>0.10735093616505414</v>
      </c>
      <c r="Z91" s="120">
        <f t="shared" si="70"/>
        <v>0.10735093616505414</v>
      </c>
      <c r="AA91" s="120">
        <f t="shared" si="70"/>
        <v>0.10735093616505414</v>
      </c>
      <c r="AB91" s="120">
        <f t="shared" si="70"/>
        <v>0</v>
      </c>
      <c r="AC91" s="120"/>
    </row>
    <row r="92" spans="1:29" x14ac:dyDescent="0.25">
      <c r="A92" s="118"/>
      <c r="B92" s="118" t="s">
        <v>312</v>
      </c>
      <c r="C92" s="118"/>
      <c r="D92" s="119">
        <f>1/(1+D91)^D89</f>
        <v>1</v>
      </c>
      <c r="E92" s="121">
        <f>+D92/(1+E91)</f>
        <v>0.90304480135898102</v>
      </c>
      <c r="F92" s="121">
        <f>+E92/(1+F91)</f>
        <v>0.81700747524575279</v>
      </c>
      <c r="G92" s="121">
        <f t="shared" ref="G92:AB92" si="71">+F92/(1+G91)</f>
        <v>0.73906307728508536</v>
      </c>
      <c r="H92" s="121">
        <f t="shared" si="71"/>
        <v>0.66689967288043661</v>
      </c>
      <c r="I92" s="121">
        <f t="shared" si="71"/>
        <v>0.60117011347294824</v>
      </c>
      <c r="J92" s="121">
        <f t="shared" si="71"/>
        <v>0.54351578942205858</v>
      </c>
      <c r="K92" s="121">
        <f t="shared" si="71"/>
        <v>0.49226384927988082</v>
      </c>
      <c r="L92" s="121">
        <f t="shared" si="71"/>
        <v>0.4449656818715314</v>
      </c>
      <c r="M92" s="121">
        <f t="shared" si="71"/>
        <v>0.40169206971117116</v>
      </c>
      <c r="N92" s="121">
        <f t="shared" si="71"/>
        <v>0.36305479241822841</v>
      </c>
      <c r="O92" s="121">
        <f t="shared" si="71"/>
        <v>0.32785216665846179</v>
      </c>
      <c r="P92" s="121">
        <f t="shared" si="71"/>
        <v>0.29606589682950191</v>
      </c>
      <c r="Q92" s="121">
        <f t="shared" si="71"/>
        <v>0.26736410938959315</v>
      </c>
      <c r="R92" s="121">
        <f t="shared" si="71"/>
        <v>0.24144478562100721</v>
      </c>
      <c r="S92" s="121">
        <f t="shared" si="71"/>
        <v>0.21803818259925062</v>
      </c>
      <c r="T92" s="121">
        <f t="shared" si="71"/>
        <v>0.19690070733525017</v>
      </c>
      <c r="U92" s="121">
        <f t="shared" si="71"/>
        <v>0.17781238169820943</v>
      </c>
      <c r="V92" s="121">
        <f t="shared" si="71"/>
        <v>0.16057455309877114</v>
      </c>
      <c r="W92" s="121">
        <f t="shared" si="71"/>
        <v>0.14500782710751869</v>
      </c>
      <c r="X92" s="121">
        <f t="shared" si="71"/>
        <v>0.13095020049353606</v>
      </c>
      <c r="Y92" s="121">
        <f t="shared" si="71"/>
        <v>0.11825537525352083</v>
      </c>
      <c r="Z92" s="121">
        <f t="shared" si="71"/>
        <v>0.10679123608551723</v>
      </c>
      <c r="AA92" s="121">
        <f t="shared" si="71"/>
        <v>9.6438475462307868E-2</v>
      </c>
      <c r="AB92" s="121">
        <f t="shared" si="71"/>
        <v>9.6438475462307868E-2</v>
      </c>
    </row>
    <row r="93" spans="1:29" x14ac:dyDescent="0.25">
      <c r="A93" s="118"/>
      <c r="B93" s="118" t="s">
        <v>313</v>
      </c>
      <c r="C93" s="118"/>
      <c r="D93" s="119">
        <f>+D90*D92</f>
        <v>0</v>
      </c>
      <c r="E93" s="119">
        <f>+E90*E92</f>
        <v>141.11203827235775</v>
      </c>
      <c r="F93" s="119">
        <f t="shared" ref="F93:AB93" si="72">+F90*F92</f>
        <v>166.88398941238557</v>
      </c>
      <c r="G93" s="119">
        <f t="shared" si="72"/>
        <v>164.6577106460374</v>
      </c>
      <c r="H93" s="119">
        <f t="shared" si="72"/>
        <v>31.117538736601176</v>
      </c>
      <c r="I93" s="119">
        <f t="shared" si="72"/>
        <v>-71.270219877501717</v>
      </c>
      <c r="J93" s="119">
        <f t="shared" si="72"/>
        <v>92.33110351754577</v>
      </c>
      <c r="K93" s="119">
        <f t="shared" si="72"/>
        <v>187.63251945114257</v>
      </c>
      <c r="L93" s="119">
        <f t="shared" si="72"/>
        <v>126.57827510778988</v>
      </c>
      <c r="M93" s="119">
        <f t="shared" si="72"/>
        <v>79.32112877569071</v>
      </c>
      <c r="N93" s="119">
        <f t="shared" si="72"/>
        <v>109.89877323005415</v>
      </c>
      <c r="O93" s="119">
        <f t="shared" si="72"/>
        <v>79.406715209637454</v>
      </c>
      <c r="P93" s="119">
        <f t="shared" si="72"/>
        <v>72.425071331281885</v>
      </c>
      <c r="Q93" s="119">
        <f t="shared" si="72"/>
        <v>66.057940311066432</v>
      </c>
      <c r="R93" s="119">
        <f t="shared" si="72"/>
        <v>60.250565141737908</v>
      </c>
      <c r="S93" s="119">
        <f t="shared" si="72"/>
        <v>54.953735808360783</v>
      </c>
      <c r="T93" s="119">
        <f t="shared" si="72"/>
        <v>50.122568513520832</v>
      </c>
      <c r="U93" s="119">
        <f t="shared" si="72"/>
        <v>45.716125345028303</v>
      </c>
      <c r="V93" s="119">
        <f t="shared" si="72"/>
        <v>41.697067379908063</v>
      </c>
      <c r="W93" s="119">
        <f t="shared" si="72"/>
        <v>38.031338285182834</v>
      </c>
      <c r="X93" s="119">
        <f t="shared" si="72"/>
        <v>34.687875734372781</v>
      </c>
      <c r="Y93" s="119">
        <f t="shared" si="72"/>
        <v>31.638348194338281</v>
      </c>
      <c r="Z93" s="119">
        <f t="shared" si="72"/>
        <v>28.856914852076063</v>
      </c>
      <c r="AA93" s="119">
        <f t="shared" si="72"/>
        <v>26.320006647154301</v>
      </c>
      <c r="AB93" s="119">
        <f t="shared" si="72"/>
        <v>26.583206713625984</v>
      </c>
    </row>
    <row r="94" spans="1:29" x14ac:dyDescent="0.25">
      <c r="A94" s="118"/>
      <c r="B94" s="118" t="s">
        <v>314</v>
      </c>
      <c r="C94" s="118"/>
      <c r="D94" s="123">
        <f>+SUM(E93:N93)</f>
        <v>1028.2628572721032</v>
      </c>
      <c r="E94" s="123">
        <f>+SUM(F93:O93)/E92</f>
        <v>1070.3317628924085</v>
      </c>
      <c r="F94" s="123">
        <f t="shared" ref="F94:Q94" si="73">+SUM(G93:P93)/F92</f>
        <v>1067.4304000290272</v>
      </c>
      <c r="G94" s="123">
        <f t="shared" si="73"/>
        <v>1046.5938152866752</v>
      </c>
      <c r="H94" s="123">
        <f t="shared" si="73"/>
        <v>1203.5271643360707</v>
      </c>
      <c r="I94" s="123">
        <f t="shared" si="73"/>
        <v>1545.0798485612086</v>
      </c>
      <c r="J94" s="123">
        <f t="shared" si="73"/>
        <v>1631.3183722281351</v>
      </c>
      <c r="K94" s="123">
        <f t="shared" si="73"/>
        <v>1512.8693684568032</v>
      </c>
      <c r="L94" s="123">
        <f t="shared" si="73"/>
        <v>1482.9226565764584</v>
      </c>
      <c r="M94" s="123">
        <f t="shared" si="73"/>
        <v>1539.8857662301923</v>
      </c>
      <c r="N94" s="123">
        <f t="shared" si="73"/>
        <v>1496.6033072886012</v>
      </c>
      <c r="O94" s="123">
        <f t="shared" si="73"/>
        <v>1511.5978677092792</v>
      </c>
      <c r="P94" s="123">
        <f t="shared" si="73"/>
        <v>1526.7293004904805</v>
      </c>
      <c r="Q94" s="123">
        <f t="shared" si="73"/>
        <v>1541.9965934953848</v>
      </c>
    </row>
    <row r="95" spans="1:29" ht="16.5" thickBot="1" x14ac:dyDescent="0.3">
      <c r="A95" s="118"/>
      <c r="B95" s="118" t="s">
        <v>315</v>
      </c>
      <c r="C95" s="118"/>
      <c r="D95" s="123">
        <f>+O90/(O91-O$29)*N92</f>
        <v>903.04769157814121</v>
      </c>
      <c r="E95" s="123">
        <f t="shared" ref="E95:Q95" si="74">+P90/(P91-P$29)*O92/E92</f>
        <v>912.17711735357238</v>
      </c>
      <c r="F95" s="123">
        <f t="shared" si="74"/>
        <v>919.69567259833173</v>
      </c>
      <c r="G95" s="123">
        <f t="shared" si="74"/>
        <v>927.30961702282207</v>
      </c>
      <c r="H95" s="123">
        <f t="shared" si="74"/>
        <v>937.30700348277321</v>
      </c>
      <c r="I95" s="123">
        <f t="shared" si="74"/>
        <v>948.37714887251775</v>
      </c>
      <c r="J95" s="123">
        <f t="shared" si="74"/>
        <v>956.75864401708066</v>
      </c>
      <c r="K95" s="123">
        <f t="shared" si="74"/>
        <v>963.50220524649444</v>
      </c>
      <c r="L95" s="123">
        <f t="shared" si="74"/>
        <v>972.21034023312131</v>
      </c>
      <c r="M95" s="123">
        <f t="shared" si="74"/>
        <v>982.26708573786289</v>
      </c>
      <c r="N95" s="123">
        <f t="shared" si="74"/>
        <v>991.25815292986624</v>
      </c>
      <c r="O95" s="123">
        <f t="shared" si="74"/>
        <v>1001.1911102983074</v>
      </c>
      <c r="P95" s="123">
        <f t="shared" si="74"/>
        <v>1011.2132572662507</v>
      </c>
      <c r="Q95" s="123">
        <f t="shared" si="74"/>
        <v>-9942.6982829957597</v>
      </c>
    </row>
    <row r="96" spans="1:29" ht="16.5" thickBot="1" x14ac:dyDescent="0.3">
      <c r="A96" s="9"/>
      <c r="B96" s="129" t="s">
        <v>300</v>
      </c>
      <c r="C96" s="132"/>
      <c r="D96" s="125">
        <f>+D94+D95</f>
        <v>1931.3105488502445</v>
      </c>
      <c r="E96" s="125">
        <f t="shared" ref="E96:Q96" si="75">+E94+E95</f>
        <v>1982.5088802459809</v>
      </c>
      <c r="F96" s="125">
        <f t="shared" si="75"/>
        <v>1987.126072627359</v>
      </c>
      <c r="G96" s="125">
        <f t="shared" si="75"/>
        <v>1973.9034323094972</v>
      </c>
      <c r="H96" s="125">
        <f t="shared" si="75"/>
        <v>2140.834167818844</v>
      </c>
      <c r="I96" s="125">
        <f t="shared" si="75"/>
        <v>2493.4569974337264</v>
      </c>
      <c r="J96" s="125">
        <f t="shared" si="75"/>
        <v>2588.0770162452159</v>
      </c>
      <c r="K96" s="125">
        <f t="shared" si="75"/>
        <v>2476.3715737032976</v>
      </c>
      <c r="L96" s="125">
        <f t="shared" si="75"/>
        <v>2455.1329968095797</v>
      </c>
      <c r="M96" s="125">
        <f t="shared" si="75"/>
        <v>2522.1528519680551</v>
      </c>
      <c r="N96" s="125">
        <f t="shared" si="75"/>
        <v>2487.8614602184675</v>
      </c>
      <c r="O96" s="125">
        <f t="shared" si="75"/>
        <v>2512.7889780075866</v>
      </c>
      <c r="P96" s="125">
        <f t="shared" si="75"/>
        <v>2537.9425577567313</v>
      </c>
      <c r="Q96" s="125">
        <f t="shared" si="75"/>
        <v>-8400.7016895003744</v>
      </c>
    </row>
    <row r="97" spans="1:29" ht="16.5" thickBot="1" x14ac:dyDescent="0.3">
      <c r="A97" s="9"/>
      <c r="B97" s="118" t="s">
        <v>301</v>
      </c>
      <c r="C97" s="45"/>
      <c r="D97" s="103">
        <f t="shared" ref="D97:Q97" si="76">-D14</f>
        <v>-700</v>
      </c>
      <c r="E97" s="103">
        <f t="shared" si="76"/>
        <v>-750</v>
      </c>
      <c r="F97" s="103">
        <f t="shared" si="76"/>
        <v>-700</v>
      </c>
      <c r="G97" s="103">
        <f t="shared" si="76"/>
        <v>-630</v>
      </c>
      <c r="H97" s="103">
        <f t="shared" si="76"/>
        <v>-730</v>
      </c>
      <c r="I97" s="103">
        <f t="shared" si="76"/>
        <v>-980</v>
      </c>
      <c r="J97" s="103">
        <f t="shared" si="76"/>
        <v>-1010</v>
      </c>
      <c r="K97" s="103">
        <f t="shared" si="76"/>
        <v>-840</v>
      </c>
      <c r="L97" s="103">
        <f t="shared" si="76"/>
        <v>-790</v>
      </c>
      <c r="M97" s="103">
        <f t="shared" si="76"/>
        <v>-840</v>
      </c>
      <c r="N97" s="103">
        <f t="shared" si="76"/>
        <v>-787</v>
      </c>
      <c r="O97" s="103">
        <f t="shared" si="76"/>
        <v>-796.99999999999955</v>
      </c>
      <c r="P97" s="103">
        <f t="shared" si="76"/>
        <v>-807.09999999999945</v>
      </c>
      <c r="Q97" s="103">
        <f t="shared" si="76"/>
        <v>-817.30099999999993</v>
      </c>
    </row>
    <row r="98" spans="1:29" ht="16.5" thickBot="1" x14ac:dyDescent="0.3">
      <c r="A98" s="126" t="s">
        <v>316</v>
      </c>
      <c r="B98" s="127" t="s">
        <v>303</v>
      </c>
      <c r="C98" s="133"/>
      <c r="D98" s="128">
        <f t="shared" ref="D98:Q98" si="77">+D96+D97</f>
        <v>1231.3105488502445</v>
      </c>
      <c r="E98" s="128">
        <f t="shared" si="77"/>
        <v>1232.5088802459809</v>
      </c>
      <c r="F98" s="128">
        <f t="shared" si="77"/>
        <v>1287.126072627359</v>
      </c>
      <c r="G98" s="128">
        <f t="shared" si="77"/>
        <v>1343.9034323094972</v>
      </c>
      <c r="H98" s="128">
        <f t="shared" si="77"/>
        <v>1410.834167818844</v>
      </c>
      <c r="I98" s="128">
        <f t="shared" si="77"/>
        <v>1513.4569974337264</v>
      </c>
      <c r="J98" s="128">
        <f t="shared" si="77"/>
        <v>1578.0770162452159</v>
      </c>
      <c r="K98" s="128">
        <f t="shared" si="77"/>
        <v>1636.3715737032976</v>
      </c>
      <c r="L98" s="128">
        <f t="shared" si="77"/>
        <v>1665.1329968095797</v>
      </c>
      <c r="M98" s="128">
        <f t="shared" si="77"/>
        <v>1682.1528519680551</v>
      </c>
      <c r="N98" s="128">
        <f t="shared" si="77"/>
        <v>1700.8614602184675</v>
      </c>
      <c r="O98" s="128">
        <f t="shared" si="77"/>
        <v>1715.788978007587</v>
      </c>
      <c r="P98" s="128">
        <f t="shared" si="77"/>
        <v>1730.8425577567318</v>
      </c>
      <c r="Q98" s="128">
        <f t="shared" si="77"/>
        <v>-9218.0026895003739</v>
      </c>
    </row>
    <row r="99" spans="1:29" ht="16.5" thickBot="1" x14ac:dyDescent="0.3"/>
    <row r="100" spans="1:29" x14ac:dyDescent="0.25">
      <c r="A100" s="118"/>
      <c r="B100" s="118" t="s">
        <v>317</v>
      </c>
      <c r="C100" s="118"/>
      <c r="D100" s="101">
        <v>0</v>
      </c>
      <c r="E100" s="101">
        <v>1</v>
      </c>
      <c r="F100" s="101">
        <f t="shared" ref="F100:N100" si="78">E100+1</f>
        <v>2</v>
      </c>
      <c r="G100" s="101">
        <f t="shared" si="78"/>
        <v>3</v>
      </c>
      <c r="H100" s="101">
        <f t="shared" si="78"/>
        <v>4</v>
      </c>
      <c r="I100" s="101">
        <f t="shared" si="78"/>
        <v>5</v>
      </c>
      <c r="J100" s="101">
        <f t="shared" si="78"/>
        <v>6</v>
      </c>
      <c r="K100" s="101">
        <f t="shared" si="78"/>
        <v>7</v>
      </c>
      <c r="L100" s="101">
        <f t="shared" si="78"/>
        <v>8</v>
      </c>
      <c r="M100" s="101">
        <f t="shared" si="78"/>
        <v>9</v>
      </c>
      <c r="N100" s="101">
        <f t="shared" si="78"/>
        <v>10</v>
      </c>
      <c r="O100" s="101">
        <f>N100+1</f>
        <v>11</v>
      </c>
      <c r="P100" s="101">
        <f t="shared" ref="P100:AB100" si="79">O100+1</f>
        <v>12</v>
      </c>
      <c r="Q100" s="101">
        <f t="shared" si="79"/>
        <v>13</v>
      </c>
      <c r="R100" s="101">
        <f t="shared" si="79"/>
        <v>14</v>
      </c>
      <c r="S100" s="101">
        <f t="shared" si="79"/>
        <v>15</v>
      </c>
      <c r="T100" s="101">
        <f t="shared" si="79"/>
        <v>16</v>
      </c>
      <c r="U100" s="101">
        <f t="shared" si="79"/>
        <v>17</v>
      </c>
      <c r="V100" s="101">
        <f t="shared" si="79"/>
        <v>18</v>
      </c>
      <c r="W100" s="101">
        <f t="shared" si="79"/>
        <v>19</v>
      </c>
      <c r="X100" s="101">
        <f t="shared" si="79"/>
        <v>20</v>
      </c>
      <c r="Y100" s="101">
        <f t="shared" si="79"/>
        <v>21</v>
      </c>
      <c r="Z100" s="101">
        <f t="shared" si="79"/>
        <v>22</v>
      </c>
      <c r="AA100" s="101">
        <f t="shared" si="79"/>
        <v>23</v>
      </c>
      <c r="AB100" s="101">
        <f t="shared" si="79"/>
        <v>24</v>
      </c>
    </row>
    <row r="101" spans="1:29" x14ac:dyDescent="0.25">
      <c r="A101" s="118"/>
      <c r="B101" s="118" t="s">
        <v>292</v>
      </c>
      <c r="C101" s="118"/>
      <c r="D101" s="130">
        <f t="shared" ref="D101:AB101" si="80">+D61</f>
        <v>0</v>
      </c>
      <c r="E101" s="119">
        <f t="shared" si="80"/>
        <v>155.51249999999999</v>
      </c>
      <c r="F101" s="119">
        <f t="shared" si="80"/>
        <v>103.51249999999999</v>
      </c>
      <c r="G101" s="119">
        <f t="shared" si="80"/>
        <v>106.24250000000001</v>
      </c>
      <c r="H101" s="119">
        <f t="shared" si="80"/>
        <v>99.06</v>
      </c>
      <c r="I101" s="119">
        <f t="shared" si="80"/>
        <v>71.597499999999968</v>
      </c>
      <c r="J101" s="119">
        <f t="shared" si="80"/>
        <v>130.22750000000002</v>
      </c>
      <c r="K101" s="119">
        <f t="shared" si="80"/>
        <v>146.41250000000002</v>
      </c>
      <c r="L101" s="119">
        <f t="shared" si="80"/>
        <v>177.41750000000002</v>
      </c>
      <c r="M101" s="119">
        <f t="shared" si="80"/>
        <v>190.41750000000002</v>
      </c>
      <c r="N101" s="119">
        <f t="shared" si="80"/>
        <v>192.76075000000003</v>
      </c>
      <c r="O101" s="119">
        <f t="shared" si="80"/>
        <v>196.76280749999989</v>
      </c>
      <c r="P101" s="119">
        <f t="shared" si="80"/>
        <v>198.5813355750002</v>
      </c>
      <c r="Q101" s="119">
        <f t="shared" si="80"/>
        <v>200.41804893075061</v>
      </c>
      <c r="R101" s="119">
        <f t="shared" si="80"/>
        <v>202.27312942005756</v>
      </c>
      <c r="S101" s="119">
        <f t="shared" si="80"/>
        <v>204.14676071425833</v>
      </c>
      <c r="T101" s="119">
        <f t="shared" si="80"/>
        <v>206.03912832140077</v>
      </c>
      <c r="U101" s="119">
        <f t="shared" si="80"/>
        <v>207.95041960461492</v>
      </c>
      <c r="V101" s="119">
        <f t="shared" si="80"/>
        <v>209.88082380066089</v>
      </c>
      <c r="W101" s="119">
        <f t="shared" si="80"/>
        <v>211.83053203866712</v>
      </c>
      <c r="X101" s="119">
        <f t="shared" si="80"/>
        <v>213.79973735905446</v>
      </c>
      <c r="Y101" s="119">
        <f t="shared" si="80"/>
        <v>215.78863473264437</v>
      </c>
      <c r="Z101" s="119">
        <f t="shared" si="80"/>
        <v>217.79742107997117</v>
      </c>
      <c r="AA101" s="119">
        <f t="shared" si="80"/>
        <v>219.8262952907703</v>
      </c>
      <c r="AB101" s="119">
        <f t="shared" si="80"/>
        <v>221.87545824367839</v>
      </c>
    </row>
    <row r="102" spans="1:29" x14ac:dyDescent="0.25">
      <c r="A102" s="118"/>
      <c r="B102" s="118" t="s">
        <v>276</v>
      </c>
      <c r="C102" s="118"/>
      <c r="D102" s="120">
        <f t="shared" ref="D102:AB102" si="81">+D39</f>
        <v>0.12759431159043877</v>
      </c>
      <c r="E102" s="120">
        <f t="shared" si="81"/>
        <v>0.12870828373431936</v>
      </c>
      <c r="F102" s="120">
        <f t="shared" si="81"/>
        <v>0.12691718872967717</v>
      </c>
      <c r="G102" s="120">
        <f t="shared" si="81"/>
        <v>0.12484182375859004</v>
      </c>
      <c r="H102" s="120">
        <f t="shared" si="81"/>
        <v>0.12617986033448333</v>
      </c>
      <c r="I102" s="120">
        <f t="shared" si="81"/>
        <v>0.12976752504975367</v>
      </c>
      <c r="J102" s="120">
        <f t="shared" si="81"/>
        <v>0.12955620838909407</v>
      </c>
      <c r="K102" s="120">
        <f t="shared" si="81"/>
        <v>0.12605346072705606</v>
      </c>
      <c r="L102" s="120">
        <f t="shared" si="81"/>
        <v>0.12498073502838933</v>
      </c>
      <c r="M102" s="120">
        <f t="shared" si="81"/>
        <v>0.12566756389685119</v>
      </c>
      <c r="N102" s="120">
        <f t="shared" si="81"/>
        <v>0.12465750808203033</v>
      </c>
      <c r="O102" s="120">
        <f t="shared" si="81"/>
        <v>0.12470149629489119</v>
      </c>
      <c r="P102" s="120">
        <f t="shared" si="81"/>
        <v>0.12474511780715647</v>
      </c>
      <c r="Q102" s="120">
        <f t="shared" si="81"/>
        <v>0.1247883750526437</v>
      </c>
      <c r="R102" s="120">
        <f t="shared" si="81"/>
        <v>0.1247883750526437</v>
      </c>
      <c r="S102" s="120">
        <f t="shared" si="81"/>
        <v>0.1247883750526437</v>
      </c>
      <c r="T102" s="120">
        <f t="shared" si="81"/>
        <v>0.1247883750526437</v>
      </c>
      <c r="U102" s="120">
        <f t="shared" si="81"/>
        <v>0.1247883750526437</v>
      </c>
      <c r="V102" s="120">
        <f t="shared" si="81"/>
        <v>0.1247883750526437</v>
      </c>
      <c r="W102" s="120">
        <f t="shared" si="81"/>
        <v>0.1247883750526437</v>
      </c>
      <c r="X102" s="120">
        <f t="shared" si="81"/>
        <v>0.1247883750526437</v>
      </c>
      <c r="Y102" s="120">
        <f t="shared" si="81"/>
        <v>0.1247883750526437</v>
      </c>
      <c r="Z102" s="120">
        <f t="shared" si="81"/>
        <v>0.1247883750526437</v>
      </c>
      <c r="AA102" s="120">
        <f t="shared" si="81"/>
        <v>0.1247883750526437</v>
      </c>
      <c r="AB102" s="120">
        <f t="shared" si="81"/>
        <v>0</v>
      </c>
      <c r="AC102" s="120"/>
    </row>
    <row r="103" spans="1:29" x14ac:dyDescent="0.25">
      <c r="A103" s="118"/>
      <c r="B103" s="118" t="s">
        <v>318</v>
      </c>
      <c r="C103" s="118"/>
      <c r="D103" s="119">
        <f>1/(1+D102)^D100</f>
        <v>1</v>
      </c>
      <c r="E103" s="121">
        <f>+D103/(1+E102)</f>
        <v>0.88596851322071513</v>
      </c>
      <c r="F103" s="121">
        <f>+E103/(1+F102)</f>
        <v>0.78618777145410956</v>
      </c>
      <c r="G103" s="121">
        <f t="shared" ref="G103:N103" si="82">+F103/(1+G102)</f>
        <v>0.69893184521456653</v>
      </c>
      <c r="H103" s="121">
        <f t="shared" si="82"/>
        <v>0.62062186497188732</v>
      </c>
      <c r="I103" s="121">
        <f t="shared" si="82"/>
        <v>0.5493359042556617</v>
      </c>
      <c r="J103" s="121">
        <f t="shared" si="82"/>
        <v>0.48632896723138014</v>
      </c>
      <c r="K103" s="121">
        <f t="shared" si="82"/>
        <v>0.43188799128362287</v>
      </c>
      <c r="L103" s="121">
        <f t="shared" si="82"/>
        <v>0.38390701088114543</v>
      </c>
      <c r="M103" s="121">
        <f t="shared" si="82"/>
        <v>0.34104830164256572</v>
      </c>
      <c r="N103" s="121">
        <f t="shared" si="82"/>
        <v>0.303246365397216</v>
      </c>
      <c r="O103" s="119">
        <f t="shared" ref="O103:AB103" si="83">1/(1+O102)^O100</f>
        <v>0.27453011869274729</v>
      </c>
      <c r="P103" s="119">
        <f t="shared" si="83"/>
        <v>0.24397796223965734</v>
      </c>
      <c r="Q103" s="119">
        <f t="shared" si="83"/>
        <v>0.21681002067470773</v>
      </c>
      <c r="R103" s="119">
        <f t="shared" si="83"/>
        <v>0.19275627796611994</v>
      </c>
      <c r="S103" s="119">
        <f t="shared" si="83"/>
        <v>0.17137115055718666</v>
      </c>
      <c r="T103" s="119">
        <f t="shared" si="83"/>
        <v>0.15235857193951344</v>
      </c>
      <c r="U103" s="119">
        <f t="shared" si="83"/>
        <v>0.13545532236887012</v>
      </c>
      <c r="V103" s="119">
        <f t="shared" si="83"/>
        <v>0.12042738471806341</v>
      </c>
      <c r="W103" s="119">
        <f t="shared" si="83"/>
        <v>0.10706670462559416</v>
      </c>
      <c r="X103" s="119">
        <f t="shared" si="83"/>
        <v>9.5188310085960015E-2</v>
      </c>
      <c r="Y103" s="119">
        <f t="shared" si="83"/>
        <v>8.462775060375681E-2</v>
      </c>
      <c r="Z103" s="119">
        <f t="shared" si="83"/>
        <v>7.5238820457933675E-2</v>
      </c>
      <c r="AA103" s="119">
        <f t="shared" si="83"/>
        <v>6.6891534555922366E-2</v>
      </c>
      <c r="AB103" s="119">
        <f t="shared" si="83"/>
        <v>1</v>
      </c>
    </row>
    <row r="104" spans="1:29" x14ac:dyDescent="0.25">
      <c r="A104" s="118"/>
      <c r="B104" s="118" t="s">
        <v>319</v>
      </c>
      <c r="C104" s="118"/>
      <c r="D104" s="119">
        <f>+D101*D103</f>
        <v>0</v>
      </c>
      <c r="E104" s="119">
        <f>+E101*E103</f>
        <v>137.77917841223646</v>
      </c>
      <c r="F104" s="119">
        <f t="shared" ref="F104:AB104" si="84">+F101*F103</f>
        <v>81.380261692643501</v>
      </c>
      <c r="G104" s="119">
        <f t="shared" si="84"/>
        <v>74.256266565208591</v>
      </c>
      <c r="H104" s="119">
        <f t="shared" si="84"/>
        <v>61.478801944115162</v>
      </c>
      <c r="I104" s="119">
        <f t="shared" si="84"/>
        <v>39.331077404944722</v>
      </c>
      <c r="J104" s="119">
        <f t="shared" si="84"/>
        <v>63.33340558012457</v>
      </c>
      <c r="K104" s="119">
        <f t="shared" si="84"/>
        <v>63.233800523813443</v>
      </c>
      <c r="L104" s="119">
        <f t="shared" si="84"/>
        <v>68.111822103005622</v>
      </c>
      <c r="M104" s="119">
        <f t="shared" si="84"/>
        <v>64.941564978023266</v>
      </c>
      <c r="N104" s="119">
        <f t="shared" si="84"/>
        <v>58.45399682874141</v>
      </c>
      <c r="O104" s="119">
        <f t="shared" si="84"/>
        <v>54.017316897293156</v>
      </c>
      <c r="P104" s="119">
        <f t="shared" si="84"/>
        <v>48.449469592418119</v>
      </c>
      <c r="Q104" s="119">
        <f t="shared" si="84"/>
        <v>43.452641332260626</v>
      </c>
      <c r="R104" s="119">
        <f t="shared" si="84"/>
        <v>38.989415559569565</v>
      </c>
      <c r="S104" s="119">
        <f t="shared" si="84"/>
        <v>34.984865266125126</v>
      </c>
      <c r="T104" s="119">
        <f t="shared" si="84"/>
        <v>31.391827354710781</v>
      </c>
      <c r="U104" s="119">
        <f t="shared" si="84"/>
        <v>28.167991124284924</v>
      </c>
      <c r="V104" s="119">
        <f t="shared" si="84"/>
        <v>25.27539871278627</v>
      </c>
      <c r="W104" s="119">
        <f t="shared" si="84"/>
        <v>22.679997004466433</v>
      </c>
      <c r="X104" s="119">
        <f t="shared" si="84"/>
        <v>20.351235696030486</v>
      </c>
      <c r="Y104" s="119">
        <f t="shared" si="84"/>
        <v>18.261706763279403</v>
      </c>
      <c r="Z104" s="119">
        <f t="shared" si="84"/>
        <v>16.38682106083693</v>
      </c>
      <c r="AA104" s="119">
        <f t="shared" si="84"/>
        <v>14.704518227742955</v>
      </c>
      <c r="AB104" s="119">
        <f t="shared" si="84"/>
        <v>221.87545824367839</v>
      </c>
    </row>
    <row r="105" spans="1:29" x14ac:dyDescent="0.25">
      <c r="A105" s="118"/>
      <c r="B105" s="118" t="s">
        <v>320</v>
      </c>
      <c r="C105" s="118"/>
      <c r="D105" s="123">
        <f>+SUM(E104:N104)</f>
        <v>712.30017603285671</v>
      </c>
      <c r="E105" s="123">
        <f>+SUM(F104:O104)/E103</f>
        <v>709.43640224077592</v>
      </c>
      <c r="F105" s="123">
        <f t="shared" ref="F105:N105" si="85">+SUM(G104:P104)/F103</f>
        <v>757.58940045082386</v>
      </c>
      <c r="G105" s="123">
        <f t="shared" si="85"/>
        <v>808.09581227673198</v>
      </c>
      <c r="H105" s="123">
        <f t="shared" si="85"/>
        <v>873.82437101979974</v>
      </c>
      <c r="I105" s="123">
        <f t="shared" si="85"/>
        <v>979.30664006080269</v>
      </c>
      <c r="J105" s="123">
        <f t="shared" si="85"/>
        <v>1040.5029404617171</v>
      </c>
      <c r="K105" s="123">
        <f t="shared" si="85"/>
        <v>1090.4700305203678</v>
      </c>
      <c r="L105" s="123">
        <f t="shared" si="85"/>
        <v>1115.1775703798157</v>
      </c>
      <c r="M105" s="123">
        <f t="shared" si="85"/>
        <v>1131.4025544600379</v>
      </c>
      <c r="N105" s="123">
        <f t="shared" si="85"/>
        <v>1146.7908546386759</v>
      </c>
      <c r="O105" s="119"/>
    </row>
    <row r="106" spans="1:29" ht="16.5" thickBot="1" x14ac:dyDescent="0.3">
      <c r="A106" s="118"/>
      <c r="B106" s="118" t="s">
        <v>321</v>
      </c>
      <c r="C106" s="118"/>
      <c r="D106" s="123">
        <f>+O101/(O102-O$29)*D103*N103</f>
        <v>520.19902221959626</v>
      </c>
      <c r="E106" s="123">
        <f t="shared" ref="E106:N106" si="86">+P101/(P102-P$29)*O103/E103</f>
        <v>536.26063895871891</v>
      </c>
      <c r="F106" s="123">
        <f t="shared" si="86"/>
        <v>541.8302368090425</v>
      </c>
      <c r="G106" s="123">
        <f t="shared" si="86"/>
        <v>546.61910640513645</v>
      </c>
      <c r="H106" s="123">
        <f t="shared" si="86"/>
        <v>552.3648633923757</v>
      </c>
      <c r="I106" s="123">
        <f t="shared" si="86"/>
        <v>559.95293219913333</v>
      </c>
      <c r="J106" s="123">
        <f t="shared" si="86"/>
        <v>567.54283872195901</v>
      </c>
      <c r="K106" s="123">
        <f t="shared" si="86"/>
        <v>573.45559946819708</v>
      </c>
      <c r="L106" s="123">
        <f t="shared" si="86"/>
        <v>578.88175353810266</v>
      </c>
      <c r="M106" s="123">
        <f t="shared" si="86"/>
        <v>584.71980496623814</v>
      </c>
      <c r="N106" s="123">
        <f t="shared" si="86"/>
        <v>590.09056629596262</v>
      </c>
      <c r="O106" s="119"/>
    </row>
    <row r="107" spans="1:29" ht="16.5" thickBot="1" x14ac:dyDescent="0.3">
      <c r="A107" s="9"/>
      <c r="B107" s="129" t="s">
        <v>300</v>
      </c>
      <c r="C107" s="132"/>
      <c r="D107" s="125">
        <f>+D105+D106</f>
        <v>1232.499198252453</v>
      </c>
      <c r="E107" s="125">
        <f t="shared" ref="E107:N107" si="87">+E105+E106</f>
        <v>1245.6970411994948</v>
      </c>
      <c r="F107" s="125">
        <f t="shared" si="87"/>
        <v>1299.4196372598662</v>
      </c>
      <c r="G107" s="125">
        <f t="shared" si="87"/>
        <v>1354.7149186818683</v>
      </c>
      <c r="H107" s="125">
        <f t="shared" si="87"/>
        <v>1426.1892344121754</v>
      </c>
      <c r="I107" s="125">
        <f t="shared" si="87"/>
        <v>1539.259572259936</v>
      </c>
      <c r="J107" s="125">
        <f t="shared" si="87"/>
        <v>1608.0457791836761</v>
      </c>
      <c r="K107" s="125">
        <f t="shared" si="87"/>
        <v>1663.9256299885649</v>
      </c>
      <c r="L107" s="125">
        <f t="shared" si="87"/>
        <v>1694.0593239179184</v>
      </c>
      <c r="M107" s="125">
        <f t="shared" si="87"/>
        <v>1716.122359426276</v>
      </c>
      <c r="N107" s="125">
        <f t="shared" si="87"/>
        <v>1736.8814209346385</v>
      </c>
      <c r="O107" s="9"/>
    </row>
    <row r="108" spans="1:29" ht="16.5" thickBot="1" x14ac:dyDescent="0.3">
      <c r="A108" s="9"/>
      <c r="B108" s="118" t="s">
        <v>301</v>
      </c>
      <c r="C108" s="9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9"/>
    </row>
    <row r="109" spans="1:29" ht="16.5" thickBot="1" x14ac:dyDescent="0.3">
      <c r="A109" s="126" t="s">
        <v>322</v>
      </c>
      <c r="B109" s="127" t="s">
        <v>303</v>
      </c>
      <c r="C109" s="133"/>
      <c r="D109" s="128">
        <f t="shared" ref="D109:N109" si="88">+D107+D108</f>
        <v>1232.499198252453</v>
      </c>
      <c r="E109" s="128">
        <f t="shared" si="88"/>
        <v>1245.6970411994948</v>
      </c>
      <c r="F109" s="128">
        <f t="shared" si="88"/>
        <v>1299.4196372598662</v>
      </c>
      <c r="G109" s="128">
        <f t="shared" si="88"/>
        <v>1354.7149186818683</v>
      </c>
      <c r="H109" s="128">
        <f t="shared" si="88"/>
        <v>1426.1892344121754</v>
      </c>
      <c r="I109" s="128">
        <f t="shared" si="88"/>
        <v>1539.259572259936</v>
      </c>
      <c r="J109" s="128">
        <f t="shared" si="88"/>
        <v>1608.0457791836761</v>
      </c>
      <c r="K109" s="128">
        <f t="shared" si="88"/>
        <v>1663.9256299885649</v>
      </c>
      <c r="L109" s="128">
        <f t="shared" si="88"/>
        <v>1694.0593239179184</v>
      </c>
      <c r="M109" s="128">
        <f t="shared" si="88"/>
        <v>1716.122359426276</v>
      </c>
      <c r="N109" s="128">
        <f t="shared" si="88"/>
        <v>1736.8814209346385</v>
      </c>
      <c r="O109" s="9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9"/>
  <sheetViews>
    <sheetView topLeftCell="A93" workbookViewId="0">
      <selection activeCell="B80" sqref="B80"/>
    </sheetView>
  </sheetViews>
  <sheetFormatPr baseColWidth="10" defaultColWidth="11.42578125" defaultRowHeight="15.75" x14ac:dyDescent="0.25"/>
  <cols>
    <col min="1" max="1" width="7.7109375" style="8" customWidth="1"/>
    <col min="2" max="2" width="54.7109375" style="8" customWidth="1"/>
    <col min="3" max="3" width="12.5703125" style="8" bestFit="1" customWidth="1"/>
    <col min="4" max="4" width="12.5703125" style="8" customWidth="1"/>
    <col min="5" max="5" width="12.140625" style="8" customWidth="1"/>
    <col min="6" max="8" width="10.85546875" style="8" bestFit="1" customWidth="1"/>
    <col min="9" max="14" width="10.7109375" style="8" customWidth="1"/>
    <col min="15" max="15" width="11" style="9" customWidth="1"/>
    <col min="16" max="16" width="10.7109375" style="9" bestFit="1" customWidth="1"/>
    <col min="17" max="23" width="9.85546875" style="9" bestFit="1" customWidth="1"/>
    <col min="24" max="255" width="11.42578125" style="9"/>
    <col min="256" max="256" width="7.7109375" style="9" customWidth="1"/>
    <col min="257" max="257" width="54.7109375" style="9" customWidth="1"/>
    <col min="258" max="258" width="58.28515625" style="9" customWidth="1"/>
    <col min="259" max="259" width="12.5703125" style="9" bestFit="1" customWidth="1"/>
    <col min="260" max="260" width="12.5703125" style="9" customWidth="1"/>
    <col min="261" max="261" width="12.140625" style="9" customWidth="1"/>
    <col min="262" max="264" width="10.85546875" style="9" bestFit="1" customWidth="1"/>
    <col min="265" max="270" width="10.7109375" style="9" customWidth="1"/>
    <col min="271" max="271" width="11" style="9" customWidth="1"/>
    <col min="272" max="272" width="10.7109375" style="9" bestFit="1" customWidth="1"/>
    <col min="273" max="279" width="9.85546875" style="9" bestFit="1" customWidth="1"/>
    <col min="280" max="511" width="11.42578125" style="9"/>
    <col min="512" max="512" width="7.7109375" style="9" customWidth="1"/>
    <col min="513" max="513" width="54.7109375" style="9" customWidth="1"/>
    <col min="514" max="514" width="58.28515625" style="9" customWidth="1"/>
    <col min="515" max="515" width="12.5703125" style="9" bestFit="1" customWidth="1"/>
    <col min="516" max="516" width="12.5703125" style="9" customWidth="1"/>
    <col min="517" max="517" width="12.140625" style="9" customWidth="1"/>
    <col min="518" max="520" width="10.85546875" style="9" bestFit="1" customWidth="1"/>
    <col min="521" max="526" width="10.7109375" style="9" customWidth="1"/>
    <col min="527" max="527" width="11" style="9" customWidth="1"/>
    <col min="528" max="528" width="10.7109375" style="9" bestFit="1" customWidth="1"/>
    <col min="529" max="535" width="9.85546875" style="9" bestFit="1" customWidth="1"/>
    <col min="536" max="767" width="11.42578125" style="9"/>
    <col min="768" max="768" width="7.7109375" style="9" customWidth="1"/>
    <col min="769" max="769" width="54.7109375" style="9" customWidth="1"/>
    <col min="770" max="770" width="58.28515625" style="9" customWidth="1"/>
    <col min="771" max="771" width="12.5703125" style="9" bestFit="1" customWidth="1"/>
    <col min="772" max="772" width="12.5703125" style="9" customWidth="1"/>
    <col min="773" max="773" width="12.140625" style="9" customWidth="1"/>
    <col min="774" max="776" width="10.85546875" style="9" bestFit="1" customWidth="1"/>
    <col min="777" max="782" width="10.7109375" style="9" customWidth="1"/>
    <col min="783" max="783" width="11" style="9" customWidth="1"/>
    <col min="784" max="784" width="10.7109375" style="9" bestFit="1" customWidth="1"/>
    <col min="785" max="791" width="9.85546875" style="9" bestFit="1" customWidth="1"/>
    <col min="792" max="1023" width="11.42578125" style="9"/>
    <col min="1024" max="1024" width="7.7109375" style="9" customWidth="1"/>
    <col min="1025" max="1025" width="54.7109375" style="9" customWidth="1"/>
    <col min="1026" max="1026" width="58.28515625" style="9" customWidth="1"/>
    <col min="1027" max="1027" width="12.5703125" style="9" bestFit="1" customWidth="1"/>
    <col min="1028" max="1028" width="12.5703125" style="9" customWidth="1"/>
    <col min="1029" max="1029" width="12.140625" style="9" customWidth="1"/>
    <col min="1030" max="1032" width="10.85546875" style="9" bestFit="1" customWidth="1"/>
    <col min="1033" max="1038" width="10.7109375" style="9" customWidth="1"/>
    <col min="1039" max="1039" width="11" style="9" customWidth="1"/>
    <col min="1040" max="1040" width="10.7109375" style="9" bestFit="1" customWidth="1"/>
    <col min="1041" max="1047" width="9.85546875" style="9" bestFit="1" customWidth="1"/>
    <col min="1048" max="1279" width="11.42578125" style="9"/>
    <col min="1280" max="1280" width="7.7109375" style="9" customWidth="1"/>
    <col min="1281" max="1281" width="54.7109375" style="9" customWidth="1"/>
    <col min="1282" max="1282" width="58.28515625" style="9" customWidth="1"/>
    <col min="1283" max="1283" width="12.5703125" style="9" bestFit="1" customWidth="1"/>
    <col min="1284" max="1284" width="12.5703125" style="9" customWidth="1"/>
    <col min="1285" max="1285" width="12.140625" style="9" customWidth="1"/>
    <col min="1286" max="1288" width="10.85546875" style="9" bestFit="1" customWidth="1"/>
    <col min="1289" max="1294" width="10.7109375" style="9" customWidth="1"/>
    <col min="1295" max="1295" width="11" style="9" customWidth="1"/>
    <col min="1296" max="1296" width="10.7109375" style="9" bestFit="1" customWidth="1"/>
    <col min="1297" max="1303" width="9.85546875" style="9" bestFit="1" customWidth="1"/>
    <col min="1304" max="1535" width="11.42578125" style="9"/>
    <col min="1536" max="1536" width="7.7109375" style="9" customWidth="1"/>
    <col min="1537" max="1537" width="54.7109375" style="9" customWidth="1"/>
    <col min="1538" max="1538" width="58.28515625" style="9" customWidth="1"/>
    <col min="1539" max="1539" width="12.5703125" style="9" bestFit="1" customWidth="1"/>
    <col min="1540" max="1540" width="12.5703125" style="9" customWidth="1"/>
    <col min="1541" max="1541" width="12.140625" style="9" customWidth="1"/>
    <col min="1542" max="1544" width="10.85546875" style="9" bestFit="1" customWidth="1"/>
    <col min="1545" max="1550" width="10.7109375" style="9" customWidth="1"/>
    <col min="1551" max="1551" width="11" style="9" customWidth="1"/>
    <col min="1552" max="1552" width="10.7109375" style="9" bestFit="1" customWidth="1"/>
    <col min="1553" max="1559" width="9.85546875" style="9" bestFit="1" customWidth="1"/>
    <col min="1560" max="1791" width="11.42578125" style="9"/>
    <col min="1792" max="1792" width="7.7109375" style="9" customWidth="1"/>
    <col min="1793" max="1793" width="54.7109375" style="9" customWidth="1"/>
    <col min="1794" max="1794" width="58.28515625" style="9" customWidth="1"/>
    <col min="1795" max="1795" width="12.5703125" style="9" bestFit="1" customWidth="1"/>
    <col min="1796" max="1796" width="12.5703125" style="9" customWidth="1"/>
    <col min="1797" max="1797" width="12.140625" style="9" customWidth="1"/>
    <col min="1798" max="1800" width="10.85546875" style="9" bestFit="1" customWidth="1"/>
    <col min="1801" max="1806" width="10.7109375" style="9" customWidth="1"/>
    <col min="1807" max="1807" width="11" style="9" customWidth="1"/>
    <col min="1808" max="1808" width="10.7109375" style="9" bestFit="1" customWidth="1"/>
    <col min="1809" max="1815" width="9.85546875" style="9" bestFit="1" customWidth="1"/>
    <col min="1816" max="2047" width="11.42578125" style="9"/>
    <col min="2048" max="2048" width="7.7109375" style="9" customWidth="1"/>
    <col min="2049" max="2049" width="54.7109375" style="9" customWidth="1"/>
    <col min="2050" max="2050" width="58.28515625" style="9" customWidth="1"/>
    <col min="2051" max="2051" width="12.5703125" style="9" bestFit="1" customWidth="1"/>
    <col min="2052" max="2052" width="12.5703125" style="9" customWidth="1"/>
    <col min="2053" max="2053" width="12.140625" style="9" customWidth="1"/>
    <col min="2054" max="2056" width="10.85546875" style="9" bestFit="1" customWidth="1"/>
    <col min="2057" max="2062" width="10.7109375" style="9" customWidth="1"/>
    <col min="2063" max="2063" width="11" style="9" customWidth="1"/>
    <col min="2064" max="2064" width="10.7109375" style="9" bestFit="1" customWidth="1"/>
    <col min="2065" max="2071" width="9.85546875" style="9" bestFit="1" customWidth="1"/>
    <col min="2072" max="2303" width="11.42578125" style="9"/>
    <col min="2304" max="2304" width="7.7109375" style="9" customWidth="1"/>
    <col min="2305" max="2305" width="54.7109375" style="9" customWidth="1"/>
    <col min="2306" max="2306" width="58.28515625" style="9" customWidth="1"/>
    <col min="2307" max="2307" width="12.5703125" style="9" bestFit="1" customWidth="1"/>
    <col min="2308" max="2308" width="12.5703125" style="9" customWidth="1"/>
    <col min="2309" max="2309" width="12.140625" style="9" customWidth="1"/>
    <col min="2310" max="2312" width="10.85546875" style="9" bestFit="1" customWidth="1"/>
    <col min="2313" max="2318" width="10.7109375" style="9" customWidth="1"/>
    <col min="2319" max="2319" width="11" style="9" customWidth="1"/>
    <col min="2320" max="2320" width="10.7109375" style="9" bestFit="1" customWidth="1"/>
    <col min="2321" max="2327" width="9.85546875" style="9" bestFit="1" customWidth="1"/>
    <col min="2328" max="2559" width="11.42578125" style="9"/>
    <col min="2560" max="2560" width="7.7109375" style="9" customWidth="1"/>
    <col min="2561" max="2561" width="54.7109375" style="9" customWidth="1"/>
    <col min="2562" max="2562" width="58.28515625" style="9" customWidth="1"/>
    <col min="2563" max="2563" width="12.5703125" style="9" bestFit="1" customWidth="1"/>
    <col min="2564" max="2564" width="12.5703125" style="9" customWidth="1"/>
    <col min="2565" max="2565" width="12.140625" style="9" customWidth="1"/>
    <col min="2566" max="2568" width="10.85546875" style="9" bestFit="1" customWidth="1"/>
    <col min="2569" max="2574" width="10.7109375" style="9" customWidth="1"/>
    <col min="2575" max="2575" width="11" style="9" customWidth="1"/>
    <col min="2576" max="2576" width="10.7109375" style="9" bestFit="1" customWidth="1"/>
    <col min="2577" max="2583" width="9.85546875" style="9" bestFit="1" customWidth="1"/>
    <col min="2584" max="2815" width="11.42578125" style="9"/>
    <col min="2816" max="2816" width="7.7109375" style="9" customWidth="1"/>
    <col min="2817" max="2817" width="54.7109375" style="9" customWidth="1"/>
    <col min="2818" max="2818" width="58.28515625" style="9" customWidth="1"/>
    <col min="2819" max="2819" width="12.5703125" style="9" bestFit="1" customWidth="1"/>
    <col min="2820" max="2820" width="12.5703125" style="9" customWidth="1"/>
    <col min="2821" max="2821" width="12.140625" style="9" customWidth="1"/>
    <col min="2822" max="2824" width="10.85546875" style="9" bestFit="1" customWidth="1"/>
    <col min="2825" max="2830" width="10.7109375" style="9" customWidth="1"/>
    <col min="2831" max="2831" width="11" style="9" customWidth="1"/>
    <col min="2832" max="2832" width="10.7109375" style="9" bestFit="1" customWidth="1"/>
    <col min="2833" max="2839" width="9.85546875" style="9" bestFit="1" customWidth="1"/>
    <col min="2840" max="3071" width="11.42578125" style="9"/>
    <col min="3072" max="3072" width="7.7109375" style="9" customWidth="1"/>
    <col min="3073" max="3073" width="54.7109375" style="9" customWidth="1"/>
    <col min="3074" max="3074" width="58.28515625" style="9" customWidth="1"/>
    <col min="3075" max="3075" width="12.5703125" style="9" bestFit="1" customWidth="1"/>
    <col min="3076" max="3076" width="12.5703125" style="9" customWidth="1"/>
    <col min="3077" max="3077" width="12.140625" style="9" customWidth="1"/>
    <col min="3078" max="3080" width="10.85546875" style="9" bestFit="1" customWidth="1"/>
    <col min="3081" max="3086" width="10.7109375" style="9" customWidth="1"/>
    <col min="3087" max="3087" width="11" style="9" customWidth="1"/>
    <col min="3088" max="3088" width="10.7109375" style="9" bestFit="1" customWidth="1"/>
    <col min="3089" max="3095" width="9.85546875" style="9" bestFit="1" customWidth="1"/>
    <col min="3096" max="3327" width="11.42578125" style="9"/>
    <col min="3328" max="3328" width="7.7109375" style="9" customWidth="1"/>
    <col min="3329" max="3329" width="54.7109375" style="9" customWidth="1"/>
    <col min="3330" max="3330" width="58.28515625" style="9" customWidth="1"/>
    <col min="3331" max="3331" width="12.5703125" style="9" bestFit="1" customWidth="1"/>
    <col min="3332" max="3332" width="12.5703125" style="9" customWidth="1"/>
    <col min="3333" max="3333" width="12.140625" style="9" customWidth="1"/>
    <col min="3334" max="3336" width="10.85546875" style="9" bestFit="1" customWidth="1"/>
    <col min="3337" max="3342" width="10.7109375" style="9" customWidth="1"/>
    <col min="3343" max="3343" width="11" style="9" customWidth="1"/>
    <col min="3344" max="3344" width="10.7109375" style="9" bestFit="1" customWidth="1"/>
    <col min="3345" max="3351" width="9.85546875" style="9" bestFit="1" customWidth="1"/>
    <col min="3352" max="3583" width="11.42578125" style="9"/>
    <col min="3584" max="3584" width="7.7109375" style="9" customWidth="1"/>
    <col min="3585" max="3585" width="54.7109375" style="9" customWidth="1"/>
    <col min="3586" max="3586" width="58.28515625" style="9" customWidth="1"/>
    <col min="3587" max="3587" width="12.5703125" style="9" bestFit="1" customWidth="1"/>
    <col min="3588" max="3588" width="12.5703125" style="9" customWidth="1"/>
    <col min="3589" max="3589" width="12.140625" style="9" customWidth="1"/>
    <col min="3590" max="3592" width="10.85546875" style="9" bestFit="1" customWidth="1"/>
    <col min="3593" max="3598" width="10.7109375" style="9" customWidth="1"/>
    <col min="3599" max="3599" width="11" style="9" customWidth="1"/>
    <col min="3600" max="3600" width="10.7109375" style="9" bestFit="1" customWidth="1"/>
    <col min="3601" max="3607" width="9.85546875" style="9" bestFit="1" customWidth="1"/>
    <col min="3608" max="3839" width="11.42578125" style="9"/>
    <col min="3840" max="3840" width="7.7109375" style="9" customWidth="1"/>
    <col min="3841" max="3841" width="54.7109375" style="9" customWidth="1"/>
    <col min="3842" max="3842" width="58.28515625" style="9" customWidth="1"/>
    <col min="3843" max="3843" width="12.5703125" style="9" bestFit="1" customWidth="1"/>
    <col min="3844" max="3844" width="12.5703125" style="9" customWidth="1"/>
    <col min="3845" max="3845" width="12.140625" style="9" customWidth="1"/>
    <col min="3846" max="3848" width="10.85546875" style="9" bestFit="1" customWidth="1"/>
    <col min="3849" max="3854" width="10.7109375" style="9" customWidth="1"/>
    <col min="3855" max="3855" width="11" style="9" customWidth="1"/>
    <col min="3856" max="3856" width="10.7109375" style="9" bestFit="1" customWidth="1"/>
    <col min="3857" max="3863" width="9.85546875" style="9" bestFit="1" customWidth="1"/>
    <col min="3864" max="4095" width="11.42578125" style="9"/>
    <col min="4096" max="4096" width="7.7109375" style="9" customWidth="1"/>
    <col min="4097" max="4097" width="54.7109375" style="9" customWidth="1"/>
    <col min="4098" max="4098" width="58.28515625" style="9" customWidth="1"/>
    <col min="4099" max="4099" width="12.5703125" style="9" bestFit="1" customWidth="1"/>
    <col min="4100" max="4100" width="12.5703125" style="9" customWidth="1"/>
    <col min="4101" max="4101" width="12.140625" style="9" customWidth="1"/>
    <col min="4102" max="4104" width="10.85546875" style="9" bestFit="1" customWidth="1"/>
    <col min="4105" max="4110" width="10.7109375" style="9" customWidth="1"/>
    <col min="4111" max="4111" width="11" style="9" customWidth="1"/>
    <col min="4112" max="4112" width="10.7109375" style="9" bestFit="1" customWidth="1"/>
    <col min="4113" max="4119" width="9.85546875" style="9" bestFit="1" customWidth="1"/>
    <col min="4120" max="4351" width="11.42578125" style="9"/>
    <col min="4352" max="4352" width="7.7109375" style="9" customWidth="1"/>
    <col min="4353" max="4353" width="54.7109375" style="9" customWidth="1"/>
    <col min="4354" max="4354" width="58.28515625" style="9" customWidth="1"/>
    <col min="4355" max="4355" width="12.5703125" style="9" bestFit="1" customWidth="1"/>
    <col min="4356" max="4356" width="12.5703125" style="9" customWidth="1"/>
    <col min="4357" max="4357" width="12.140625" style="9" customWidth="1"/>
    <col min="4358" max="4360" width="10.85546875" style="9" bestFit="1" customWidth="1"/>
    <col min="4361" max="4366" width="10.7109375" style="9" customWidth="1"/>
    <col min="4367" max="4367" width="11" style="9" customWidth="1"/>
    <col min="4368" max="4368" width="10.7109375" style="9" bestFit="1" customWidth="1"/>
    <col min="4369" max="4375" width="9.85546875" style="9" bestFit="1" customWidth="1"/>
    <col min="4376" max="4607" width="11.42578125" style="9"/>
    <col min="4608" max="4608" width="7.7109375" style="9" customWidth="1"/>
    <col min="4609" max="4609" width="54.7109375" style="9" customWidth="1"/>
    <col min="4610" max="4610" width="58.28515625" style="9" customWidth="1"/>
    <col min="4611" max="4611" width="12.5703125" style="9" bestFit="1" customWidth="1"/>
    <col min="4612" max="4612" width="12.5703125" style="9" customWidth="1"/>
    <col min="4613" max="4613" width="12.140625" style="9" customWidth="1"/>
    <col min="4614" max="4616" width="10.85546875" style="9" bestFit="1" customWidth="1"/>
    <col min="4617" max="4622" width="10.7109375" style="9" customWidth="1"/>
    <col min="4623" max="4623" width="11" style="9" customWidth="1"/>
    <col min="4624" max="4624" width="10.7109375" style="9" bestFit="1" customWidth="1"/>
    <col min="4625" max="4631" width="9.85546875" style="9" bestFit="1" customWidth="1"/>
    <col min="4632" max="4863" width="11.42578125" style="9"/>
    <col min="4864" max="4864" width="7.7109375" style="9" customWidth="1"/>
    <col min="4865" max="4865" width="54.7109375" style="9" customWidth="1"/>
    <col min="4866" max="4866" width="58.28515625" style="9" customWidth="1"/>
    <col min="4867" max="4867" width="12.5703125" style="9" bestFit="1" customWidth="1"/>
    <col min="4868" max="4868" width="12.5703125" style="9" customWidth="1"/>
    <col min="4869" max="4869" width="12.140625" style="9" customWidth="1"/>
    <col min="4870" max="4872" width="10.85546875" style="9" bestFit="1" customWidth="1"/>
    <col min="4873" max="4878" width="10.7109375" style="9" customWidth="1"/>
    <col min="4879" max="4879" width="11" style="9" customWidth="1"/>
    <col min="4880" max="4880" width="10.7109375" style="9" bestFit="1" customWidth="1"/>
    <col min="4881" max="4887" width="9.85546875" style="9" bestFit="1" customWidth="1"/>
    <col min="4888" max="5119" width="11.42578125" style="9"/>
    <col min="5120" max="5120" width="7.7109375" style="9" customWidth="1"/>
    <col min="5121" max="5121" width="54.7109375" style="9" customWidth="1"/>
    <col min="5122" max="5122" width="58.28515625" style="9" customWidth="1"/>
    <col min="5123" max="5123" width="12.5703125" style="9" bestFit="1" customWidth="1"/>
    <col min="5124" max="5124" width="12.5703125" style="9" customWidth="1"/>
    <col min="5125" max="5125" width="12.140625" style="9" customWidth="1"/>
    <col min="5126" max="5128" width="10.85546875" style="9" bestFit="1" customWidth="1"/>
    <col min="5129" max="5134" width="10.7109375" style="9" customWidth="1"/>
    <col min="5135" max="5135" width="11" style="9" customWidth="1"/>
    <col min="5136" max="5136" width="10.7109375" style="9" bestFit="1" customWidth="1"/>
    <col min="5137" max="5143" width="9.85546875" style="9" bestFit="1" customWidth="1"/>
    <col min="5144" max="5375" width="11.42578125" style="9"/>
    <col min="5376" max="5376" width="7.7109375" style="9" customWidth="1"/>
    <col min="5377" max="5377" width="54.7109375" style="9" customWidth="1"/>
    <col min="5378" max="5378" width="58.28515625" style="9" customWidth="1"/>
    <col min="5379" max="5379" width="12.5703125" style="9" bestFit="1" customWidth="1"/>
    <col min="5380" max="5380" width="12.5703125" style="9" customWidth="1"/>
    <col min="5381" max="5381" width="12.140625" style="9" customWidth="1"/>
    <col min="5382" max="5384" width="10.85546875" style="9" bestFit="1" customWidth="1"/>
    <col min="5385" max="5390" width="10.7109375" style="9" customWidth="1"/>
    <col min="5391" max="5391" width="11" style="9" customWidth="1"/>
    <col min="5392" max="5392" width="10.7109375" style="9" bestFit="1" customWidth="1"/>
    <col min="5393" max="5399" width="9.85546875" style="9" bestFit="1" customWidth="1"/>
    <col min="5400" max="5631" width="11.42578125" style="9"/>
    <col min="5632" max="5632" width="7.7109375" style="9" customWidth="1"/>
    <col min="5633" max="5633" width="54.7109375" style="9" customWidth="1"/>
    <col min="5634" max="5634" width="58.28515625" style="9" customWidth="1"/>
    <col min="5635" max="5635" width="12.5703125" style="9" bestFit="1" customWidth="1"/>
    <col min="5636" max="5636" width="12.5703125" style="9" customWidth="1"/>
    <col min="5637" max="5637" width="12.140625" style="9" customWidth="1"/>
    <col min="5638" max="5640" width="10.85546875" style="9" bestFit="1" customWidth="1"/>
    <col min="5641" max="5646" width="10.7109375" style="9" customWidth="1"/>
    <col min="5647" max="5647" width="11" style="9" customWidth="1"/>
    <col min="5648" max="5648" width="10.7109375" style="9" bestFit="1" customWidth="1"/>
    <col min="5649" max="5655" width="9.85546875" style="9" bestFit="1" customWidth="1"/>
    <col min="5656" max="5887" width="11.42578125" style="9"/>
    <col min="5888" max="5888" width="7.7109375" style="9" customWidth="1"/>
    <col min="5889" max="5889" width="54.7109375" style="9" customWidth="1"/>
    <col min="5890" max="5890" width="58.28515625" style="9" customWidth="1"/>
    <col min="5891" max="5891" width="12.5703125" style="9" bestFit="1" customWidth="1"/>
    <col min="5892" max="5892" width="12.5703125" style="9" customWidth="1"/>
    <col min="5893" max="5893" width="12.140625" style="9" customWidth="1"/>
    <col min="5894" max="5896" width="10.85546875" style="9" bestFit="1" customWidth="1"/>
    <col min="5897" max="5902" width="10.7109375" style="9" customWidth="1"/>
    <col min="5903" max="5903" width="11" style="9" customWidth="1"/>
    <col min="5904" max="5904" width="10.7109375" style="9" bestFit="1" customWidth="1"/>
    <col min="5905" max="5911" width="9.85546875" style="9" bestFit="1" customWidth="1"/>
    <col min="5912" max="6143" width="11.42578125" style="9"/>
    <col min="6144" max="6144" width="7.7109375" style="9" customWidth="1"/>
    <col min="6145" max="6145" width="54.7109375" style="9" customWidth="1"/>
    <col min="6146" max="6146" width="58.28515625" style="9" customWidth="1"/>
    <col min="6147" max="6147" width="12.5703125" style="9" bestFit="1" customWidth="1"/>
    <col min="6148" max="6148" width="12.5703125" style="9" customWidth="1"/>
    <col min="6149" max="6149" width="12.140625" style="9" customWidth="1"/>
    <col min="6150" max="6152" width="10.85546875" style="9" bestFit="1" customWidth="1"/>
    <col min="6153" max="6158" width="10.7109375" style="9" customWidth="1"/>
    <col min="6159" max="6159" width="11" style="9" customWidth="1"/>
    <col min="6160" max="6160" width="10.7109375" style="9" bestFit="1" customWidth="1"/>
    <col min="6161" max="6167" width="9.85546875" style="9" bestFit="1" customWidth="1"/>
    <col min="6168" max="6399" width="11.42578125" style="9"/>
    <col min="6400" max="6400" width="7.7109375" style="9" customWidth="1"/>
    <col min="6401" max="6401" width="54.7109375" style="9" customWidth="1"/>
    <col min="6402" max="6402" width="58.28515625" style="9" customWidth="1"/>
    <col min="6403" max="6403" width="12.5703125" style="9" bestFit="1" customWidth="1"/>
    <col min="6404" max="6404" width="12.5703125" style="9" customWidth="1"/>
    <col min="6405" max="6405" width="12.140625" style="9" customWidth="1"/>
    <col min="6406" max="6408" width="10.85546875" style="9" bestFit="1" customWidth="1"/>
    <col min="6409" max="6414" width="10.7109375" style="9" customWidth="1"/>
    <col min="6415" max="6415" width="11" style="9" customWidth="1"/>
    <col min="6416" max="6416" width="10.7109375" style="9" bestFit="1" customWidth="1"/>
    <col min="6417" max="6423" width="9.85546875" style="9" bestFit="1" customWidth="1"/>
    <col min="6424" max="6655" width="11.42578125" style="9"/>
    <col min="6656" max="6656" width="7.7109375" style="9" customWidth="1"/>
    <col min="6657" max="6657" width="54.7109375" style="9" customWidth="1"/>
    <col min="6658" max="6658" width="58.28515625" style="9" customWidth="1"/>
    <col min="6659" max="6659" width="12.5703125" style="9" bestFit="1" customWidth="1"/>
    <col min="6660" max="6660" width="12.5703125" style="9" customWidth="1"/>
    <col min="6661" max="6661" width="12.140625" style="9" customWidth="1"/>
    <col min="6662" max="6664" width="10.85546875" style="9" bestFit="1" customWidth="1"/>
    <col min="6665" max="6670" width="10.7109375" style="9" customWidth="1"/>
    <col min="6671" max="6671" width="11" style="9" customWidth="1"/>
    <col min="6672" max="6672" width="10.7109375" style="9" bestFit="1" customWidth="1"/>
    <col min="6673" max="6679" width="9.85546875" style="9" bestFit="1" customWidth="1"/>
    <col min="6680" max="6911" width="11.42578125" style="9"/>
    <col min="6912" max="6912" width="7.7109375" style="9" customWidth="1"/>
    <col min="6913" max="6913" width="54.7109375" style="9" customWidth="1"/>
    <col min="6914" max="6914" width="58.28515625" style="9" customWidth="1"/>
    <col min="6915" max="6915" width="12.5703125" style="9" bestFit="1" customWidth="1"/>
    <col min="6916" max="6916" width="12.5703125" style="9" customWidth="1"/>
    <col min="6917" max="6917" width="12.140625" style="9" customWidth="1"/>
    <col min="6918" max="6920" width="10.85546875" style="9" bestFit="1" customWidth="1"/>
    <col min="6921" max="6926" width="10.7109375" style="9" customWidth="1"/>
    <col min="6927" max="6927" width="11" style="9" customWidth="1"/>
    <col min="6928" max="6928" width="10.7109375" style="9" bestFit="1" customWidth="1"/>
    <col min="6929" max="6935" width="9.85546875" style="9" bestFit="1" customWidth="1"/>
    <col min="6936" max="7167" width="11.42578125" style="9"/>
    <col min="7168" max="7168" width="7.7109375" style="9" customWidth="1"/>
    <col min="7169" max="7169" width="54.7109375" style="9" customWidth="1"/>
    <col min="7170" max="7170" width="58.28515625" style="9" customWidth="1"/>
    <col min="7171" max="7171" width="12.5703125" style="9" bestFit="1" customWidth="1"/>
    <col min="7172" max="7172" width="12.5703125" style="9" customWidth="1"/>
    <col min="7173" max="7173" width="12.140625" style="9" customWidth="1"/>
    <col min="7174" max="7176" width="10.85546875" style="9" bestFit="1" customWidth="1"/>
    <col min="7177" max="7182" width="10.7109375" style="9" customWidth="1"/>
    <col min="7183" max="7183" width="11" style="9" customWidth="1"/>
    <col min="7184" max="7184" width="10.7109375" style="9" bestFit="1" customWidth="1"/>
    <col min="7185" max="7191" width="9.85546875" style="9" bestFit="1" customWidth="1"/>
    <col min="7192" max="7423" width="11.42578125" style="9"/>
    <col min="7424" max="7424" width="7.7109375" style="9" customWidth="1"/>
    <col min="7425" max="7425" width="54.7109375" style="9" customWidth="1"/>
    <col min="7426" max="7426" width="58.28515625" style="9" customWidth="1"/>
    <col min="7427" max="7427" width="12.5703125" style="9" bestFit="1" customWidth="1"/>
    <col min="7428" max="7428" width="12.5703125" style="9" customWidth="1"/>
    <col min="7429" max="7429" width="12.140625" style="9" customWidth="1"/>
    <col min="7430" max="7432" width="10.85546875" style="9" bestFit="1" customWidth="1"/>
    <col min="7433" max="7438" width="10.7109375" style="9" customWidth="1"/>
    <col min="7439" max="7439" width="11" style="9" customWidth="1"/>
    <col min="7440" max="7440" width="10.7109375" style="9" bestFit="1" customWidth="1"/>
    <col min="7441" max="7447" width="9.85546875" style="9" bestFit="1" customWidth="1"/>
    <col min="7448" max="7679" width="11.42578125" style="9"/>
    <col min="7680" max="7680" width="7.7109375" style="9" customWidth="1"/>
    <col min="7681" max="7681" width="54.7109375" style="9" customWidth="1"/>
    <col min="7682" max="7682" width="58.28515625" style="9" customWidth="1"/>
    <col min="7683" max="7683" width="12.5703125" style="9" bestFit="1" customWidth="1"/>
    <col min="7684" max="7684" width="12.5703125" style="9" customWidth="1"/>
    <col min="7685" max="7685" width="12.140625" style="9" customWidth="1"/>
    <col min="7686" max="7688" width="10.85546875" style="9" bestFit="1" customWidth="1"/>
    <col min="7689" max="7694" width="10.7109375" style="9" customWidth="1"/>
    <col min="7695" max="7695" width="11" style="9" customWidth="1"/>
    <col min="7696" max="7696" width="10.7109375" style="9" bestFit="1" customWidth="1"/>
    <col min="7697" max="7703" width="9.85546875" style="9" bestFit="1" customWidth="1"/>
    <col min="7704" max="7935" width="11.42578125" style="9"/>
    <col min="7936" max="7936" width="7.7109375" style="9" customWidth="1"/>
    <col min="7937" max="7937" width="54.7109375" style="9" customWidth="1"/>
    <col min="7938" max="7938" width="58.28515625" style="9" customWidth="1"/>
    <col min="7939" max="7939" width="12.5703125" style="9" bestFit="1" customWidth="1"/>
    <col min="7940" max="7940" width="12.5703125" style="9" customWidth="1"/>
    <col min="7941" max="7941" width="12.140625" style="9" customWidth="1"/>
    <col min="7942" max="7944" width="10.85546875" style="9" bestFit="1" customWidth="1"/>
    <col min="7945" max="7950" width="10.7109375" style="9" customWidth="1"/>
    <col min="7951" max="7951" width="11" style="9" customWidth="1"/>
    <col min="7952" max="7952" width="10.7109375" style="9" bestFit="1" customWidth="1"/>
    <col min="7953" max="7959" width="9.85546875" style="9" bestFit="1" customWidth="1"/>
    <col min="7960" max="8191" width="11.42578125" style="9"/>
    <col min="8192" max="8192" width="7.7109375" style="9" customWidth="1"/>
    <col min="8193" max="8193" width="54.7109375" style="9" customWidth="1"/>
    <col min="8194" max="8194" width="58.28515625" style="9" customWidth="1"/>
    <col min="8195" max="8195" width="12.5703125" style="9" bestFit="1" customWidth="1"/>
    <col min="8196" max="8196" width="12.5703125" style="9" customWidth="1"/>
    <col min="8197" max="8197" width="12.140625" style="9" customWidth="1"/>
    <col min="8198" max="8200" width="10.85546875" style="9" bestFit="1" customWidth="1"/>
    <col min="8201" max="8206" width="10.7109375" style="9" customWidth="1"/>
    <col min="8207" max="8207" width="11" style="9" customWidth="1"/>
    <col min="8208" max="8208" width="10.7109375" style="9" bestFit="1" customWidth="1"/>
    <col min="8209" max="8215" width="9.85546875" style="9" bestFit="1" customWidth="1"/>
    <col min="8216" max="8447" width="11.42578125" style="9"/>
    <col min="8448" max="8448" width="7.7109375" style="9" customWidth="1"/>
    <col min="8449" max="8449" width="54.7109375" style="9" customWidth="1"/>
    <col min="8450" max="8450" width="58.28515625" style="9" customWidth="1"/>
    <col min="8451" max="8451" width="12.5703125" style="9" bestFit="1" customWidth="1"/>
    <col min="8452" max="8452" width="12.5703125" style="9" customWidth="1"/>
    <col min="8453" max="8453" width="12.140625" style="9" customWidth="1"/>
    <col min="8454" max="8456" width="10.85546875" style="9" bestFit="1" customWidth="1"/>
    <col min="8457" max="8462" width="10.7109375" style="9" customWidth="1"/>
    <col min="8463" max="8463" width="11" style="9" customWidth="1"/>
    <col min="8464" max="8464" width="10.7109375" style="9" bestFit="1" customWidth="1"/>
    <col min="8465" max="8471" width="9.85546875" style="9" bestFit="1" customWidth="1"/>
    <col min="8472" max="8703" width="11.42578125" style="9"/>
    <col min="8704" max="8704" width="7.7109375" style="9" customWidth="1"/>
    <col min="8705" max="8705" width="54.7109375" style="9" customWidth="1"/>
    <col min="8706" max="8706" width="58.28515625" style="9" customWidth="1"/>
    <col min="8707" max="8707" width="12.5703125" style="9" bestFit="1" customWidth="1"/>
    <col min="8708" max="8708" width="12.5703125" style="9" customWidth="1"/>
    <col min="8709" max="8709" width="12.140625" style="9" customWidth="1"/>
    <col min="8710" max="8712" width="10.85546875" style="9" bestFit="1" customWidth="1"/>
    <col min="8713" max="8718" width="10.7109375" style="9" customWidth="1"/>
    <col min="8719" max="8719" width="11" style="9" customWidth="1"/>
    <col min="8720" max="8720" width="10.7109375" style="9" bestFit="1" customWidth="1"/>
    <col min="8721" max="8727" width="9.85546875" style="9" bestFit="1" customWidth="1"/>
    <col min="8728" max="8959" width="11.42578125" style="9"/>
    <col min="8960" max="8960" width="7.7109375" style="9" customWidth="1"/>
    <col min="8961" max="8961" width="54.7109375" style="9" customWidth="1"/>
    <col min="8962" max="8962" width="58.28515625" style="9" customWidth="1"/>
    <col min="8963" max="8963" width="12.5703125" style="9" bestFit="1" customWidth="1"/>
    <col min="8964" max="8964" width="12.5703125" style="9" customWidth="1"/>
    <col min="8965" max="8965" width="12.140625" style="9" customWidth="1"/>
    <col min="8966" max="8968" width="10.85546875" style="9" bestFit="1" customWidth="1"/>
    <col min="8969" max="8974" width="10.7109375" style="9" customWidth="1"/>
    <col min="8975" max="8975" width="11" style="9" customWidth="1"/>
    <col min="8976" max="8976" width="10.7109375" style="9" bestFit="1" customWidth="1"/>
    <col min="8977" max="8983" width="9.85546875" style="9" bestFit="1" customWidth="1"/>
    <col min="8984" max="9215" width="11.42578125" style="9"/>
    <col min="9216" max="9216" width="7.7109375" style="9" customWidth="1"/>
    <col min="9217" max="9217" width="54.7109375" style="9" customWidth="1"/>
    <col min="9218" max="9218" width="58.28515625" style="9" customWidth="1"/>
    <col min="9219" max="9219" width="12.5703125" style="9" bestFit="1" customWidth="1"/>
    <col min="9220" max="9220" width="12.5703125" style="9" customWidth="1"/>
    <col min="9221" max="9221" width="12.140625" style="9" customWidth="1"/>
    <col min="9222" max="9224" width="10.85546875" style="9" bestFit="1" customWidth="1"/>
    <col min="9225" max="9230" width="10.7109375" style="9" customWidth="1"/>
    <col min="9231" max="9231" width="11" style="9" customWidth="1"/>
    <col min="9232" max="9232" width="10.7109375" style="9" bestFit="1" customWidth="1"/>
    <col min="9233" max="9239" width="9.85546875" style="9" bestFit="1" customWidth="1"/>
    <col min="9240" max="9471" width="11.42578125" style="9"/>
    <col min="9472" max="9472" width="7.7109375" style="9" customWidth="1"/>
    <col min="9473" max="9473" width="54.7109375" style="9" customWidth="1"/>
    <col min="9474" max="9474" width="58.28515625" style="9" customWidth="1"/>
    <col min="9475" max="9475" width="12.5703125" style="9" bestFit="1" customWidth="1"/>
    <col min="9476" max="9476" width="12.5703125" style="9" customWidth="1"/>
    <col min="9477" max="9477" width="12.140625" style="9" customWidth="1"/>
    <col min="9478" max="9480" width="10.85546875" style="9" bestFit="1" customWidth="1"/>
    <col min="9481" max="9486" width="10.7109375" style="9" customWidth="1"/>
    <col min="9487" max="9487" width="11" style="9" customWidth="1"/>
    <col min="9488" max="9488" width="10.7109375" style="9" bestFit="1" customWidth="1"/>
    <col min="9489" max="9495" width="9.85546875" style="9" bestFit="1" customWidth="1"/>
    <col min="9496" max="9727" width="11.42578125" style="9"/>
    <col min="9728" max="9728" width="7.7109375" style="9" customWidth="1"/>
    <col min="9729" max="9729" width="54.7109375" style="9" customWidth="1"/>
    <col min="9730" max="9730" width="58.28515625" style="9" customWidth="1"/>
    <col min="9731" max="9731" width="12.5703125" style="9" bestFit="1" customWidth="1"/>
    <col min="9732" max="9732" width="12.5703125" style="9" customWidth="1"/>
    <col min="9733" max="9733" width="12.140625" style="9" customWidth="1"/>
    <col min="9734" max="9736" width="10.85546875" style="9" bestFit="1" customWidth="1"/>
    <col min="9737" max="9742" width="10.7109375" style="9" customWidth="1"/>
    <col min="9743" max="9743" width="11" style="9" customWidth="1"/>
    <col min="9744" max="9744" width="10.7109375" style="9" bestFit="1" customWidth="1"/>
    <col min="9745" max="9751" width="9.85546875" style="9" bestFit="1" customWidth="1"/>
    <col min="9752" max="9983" width="11.42578125" style="9"/>
    <col min="9984" max="9984" width="7.7109375" style="9" customWidth="1"/>
    <col min="9985" max="9985" width="54.7109375" style="9" customWidth="1"/>
    <col min="9986" max="9986" width="58.28515625" style="9" customWidth="1"/>
    <col min="9987" max="9987" width="12.5703125" style="9" bestFit="1" customWidth="1"/>
    <col min="9988" max="9988" width="12.5703125" style="9" customWidth="1"/>
    <col min="9989" max="9989" width="12.140625" style="9" customWidth="1"/>
    <col min="9990" max="9992" width="10.85546875" style="9" bestFit="1" customWidth="1"/>
    <col min="9993" max="9998" width="10.7109375" style="9" customWidth="1"/>
    <col min="9999" max="9999" width="11" style="9" customWidth="1"/>
    <col min="10000" max="10000" width="10.7109375" style="9" bestFit="1" customWidth="1"/>
    <col min="10001" max="10007" width="9.85546875" style="9" bestFit="1" customWidth="1"/>
    <col min="10008" max="10239" width="11.42578125" style="9"/>
    <col min="10240" max="10240" width="7.7109375" style="9" customWidth="1"/>
    <col min="10241" max="10241" width="54.7109375" style="9" customWidth="1"/>
    <col min="10242" max="10242" width="58.28515625" style="9" customWidth="1"/>
    <col min="10243" max="10243" width="12.5703125" style="9" bestFit="1" customWidth="1"/>
    <col min="10244" max="10244" width="12.5703125" style="9" customWidth="1"/>
    <col min="10245" max="10245" width="12.140625" style="9" customWidth="1"/>
    <col min="10246" max="10248" width="10.85546875" style="9" bestFit="1" customWidth="1"/>
    <col min="10249" max="10254" width="10.7109375" style="9" customWidth="1"/>
    <col min="10255" max="10255" width="11" style="9" customWidth="1"/>
    <col min="10256" max="10256" width="10.7109375" style="9" bestFit="1" customWidth="1"/>
    <col min="10257" max="10263" width="9.85546875" style="9" bestFit="1" customWidth="1"/>
    <col min="10264" max="10495" width="11.42578125" style="9"/>
    <col min="10496" max="10496" width="7.7109375" style="9" customWidth="1"/>
    <col min="10497" max="10497" width="54.7109375" style="9" customWidth="1"/>
    <col min="10498" max="10498" width="58.28515625" style="9" customWidth="1"/>
    <col min="10499" max="10499" width="12.5703125" style="9" bestFit="1" customWidth="1"/>
    <col min="10500" max="10500" width="12.5703125" style="9" customWidth="1"/>
    <col min="10501" max="10501" width="12.140625" style="9" customWidth="1"/>
    <col min="10502" max="10504" width="10.85546875" style="9" bestFit="1" customWidth="1"/>
    <col min="10505" max="10510" width="10.7109375" style="9" customWidth="1"/>
    <col min="10511" max="10511" width="11" style="9" customWidth="1"/>
    <col min="10512" max="10512" width="10.7109375" style="9" bestFit="1" customWidth="1"/>
    <col min="10513" max="10519" width="9.85546875" style="9" bestFit="1" customWidth="1"/>
    <col min="10520" max="10751" width="11.42578125" style="9"/>
    <col min="10752" max="10752" width="7.7109375" style="9" customWidth="1"/>
    <col min="10753" max="10753" width="54.7109375" style="9" customWidth="1"/>
    <col min="10754" max="10754" width="58.28515625" style="9" customWidth="1"/>
    <col min="10755" max="10755" width="12.5703125" style="9" bestFit="1" customWidth="1"/>
    <col min="10756" max="10756" width="12.5703125" style="9" customWidth="1"/>
    <col min="10757" max="10757" width="12.140625" style="9" customWidth="1"/>
    <col min="10758" max="10760" width="10.85546875" style="9" bestFit="1" customWidth="1"/>
    <col min="10761" max="10766" width="10.7109375" style="9" customWidth="1"/>
    <col min="10767" max="10767" width="11" style="9" customWidth="1"/>
    <col min="10768" max="10768" width="10.7109375" style="9" bestFit="1" customWidth="1"/>
    <col min="10769" max="10775" width="9.85546875" style="9" bestFit="1" customWidth="1"/>
    <col min="10776" max="11007" width="11.42578125" style="9"/>
    <col min="11008" max="11008" width="7.7109375" style="9" customWidth="1"/>
    <col min="11009" max="11009" width="54.7109375" style="9" customWidth="1"/>
    <col min="11010" max="11010" width="58.28515625" style="9" customWidth="1"/>
    <col min="11011" max="11011" width="12.5703125" style="9" bestFit="1" customWidth="1"/>
    <col min="11012" max="11012" width="12.5703125" style="9" customWidth="1"/>
    <col min="11013" max="11013" width="12.140625" style="9" customWidth="1"/>
    <col min="11014" max="11016" width="10.85546875" style="9" bestFit="1" customWidth="1"/>
    <col min="11017" max="11022" width="10.7109375" style="9" customWidth="1"/>
    <col min="11023" max="11023" width="11" style="9" customWidth="1"/>
    <col min="11024" max="11024" width="10.7109375" style="9" bestFit="1" customWidth="1"/>
    <col min="11025" max="11031" width="9.85546875" style="9" bestFit="1" customWidth="1"/>
    <col min="11032" max="11263" width="11.42578125" style="9"/>
    <col min="11264" max="11264" width="7.7109375" style="9" customWidth="1"/>
    <col min="11265" max="11265" width="54.7109375" style="9" customWidth="1"/>
    <col min="11266" max="11266" width="58.28515625" style="9" customWidth="1"/>
    <col min="11267" max="11267" width="12.5703125" style="9" bestFit="1" customWidth="1"/>
    <col min="11268" max="11268" width="12.5703125" style="9" customWidth="1"/>
    <col min="11269" max="11269" width="12.140625" style="9" customWidth="1"/>
    <col min="11270" max="11272" width="10.85546875" style="9" bestFit="1" customWidth="1"/>
    <col min="11273" max="11278" width="10.7109375" style="9" customWidth="1"/>
    <col min="11279" max="11279" width="11" style="9" customWidth="1"/>
    <col min="11280" max="11280" width="10.7109375" style="9" bestFit="1" customWidth="1"/>
    <col min="11281" max="11287" width="9.85546875" style="9" bestFit="1" customWidth="1"/>
    <col min="11288" max="11519" width="11.42578125" style="9"/>
    <col min="11520" max="11520" width="7.7109375" style="9" customWidth="1"/>
    <col min="11521" max="11521" width="54.7109375" style="9" customWidth="1"/>
    <col min="11522" max="11522" width="58.28515625" style="9" customWidth="1"/>
    <col min="11523" max="11523" width="12.5703125" style="9" bestFit="1" customWidth="1"/>
    <col min="11524" max="11524" width="12.5703125" style="9" customWidth="1"/>
    <col min="11525" max="11525" width="12.140625" style="9" customWidth="1"/>
    <col min="11526" max="11528" width="10.85546875" style="9" bestFit="1" customWidth="1"/>
    <col min="11529" max="11534" width="10.7109375" style="9" customWidth="1"/>
    <col min="11535" max="11535" width="11" style="9" customWidth="1"/>
    <col min="11536" max="11536" width="10.7109375" style="9" bestFit="1" customWidth="1"/>
    <col min="11537" max="11543" width="9.85546875" style="9" bestFit="1" customWidth="1"/>
    <col min="11544" max="11775" width="11.42578125" style="9"/>
    <col min="11776" max="11776" width="7.7109375" style="9" customWidth="1"/>
    <col min="11777" max="11777" width="54.7109375" style="9" customWidth="1"/>
    <col min="11778" max="11778" width="58.28515625" style="9" customWidth="1"/>
    <col min="11779" max="11779" width="12.5703125" style="9" bestFit="1" customWidth="1"/>
    <col min="11780" max="11780" width="12.5703125" style="9" customWidth="1"/>
    <col min="11781" max="11781" width="12.140625" style="9" customWidth="1"/>
    <col min="11782" max="11784" width="10.85546875" style="9" bestFit="1" customWidth="1"/>
    <col min="11785" max="11790" width="10.7109375" style="9" customWidth="1"/>
    <col min="11791" max="11791" width="11" style="9" customWidth="1"/>
    <col min="11792" max="11792" width="10.7109375" style="9" bestFit="1" customWidth="1"/>
    <col min="11793" max="11799" width="9.85546875" style="9" bestFit="1" customWidth="1"/>
    <col min="11800" max="12031" width="11.42578125" style="9"/>
    <col min="12032" max="12032" width="7.7109375" style="9" customWidth="1"/>
    <col min="12033" max="12033" width="54.7109375" style="9" customWidth="1"/>
    <col min="12034" max="12034" width="58.28515625" style="9" customWidth="1"/>
    <col min="12035" max="12035" width="12.5703125" style="9" bestFit="1" customWidth="1"/>
    <col min="12036" max="12036" width="12.5703125" style="9" customWidth="1"/>
    <col min="12037" max="12037" width="12.140625" style="9" customWidth="1"/>
    <col min="12038" max="12040" width="10.85546875" style="9" bestFit="1" customWidth="1"/>
    <col min="12041" max="12046" width="10.7109375" style="9" customWidth="1"/>
    <col min="12047" max="12047" width="11" style="9" customWidth="1"/>
    <col min="12048" max="12048" width="10.7109375" style="9" bestFit="1" customWidth="1"/>
    <col min="12049" max="12055" width="9.85546875" style="9" bestFit="1" customWidth="1"/>
    <col min="12056" max="12287" width="11.42578125" style="9"/>
    <col min="12288" max="12288" width="7.7109375" style="9" customWidth="1"/>
    <col min="12289" max="12289" width="54.7109375" style="9" customWidth="1"/>
    <col min="12290" max="12290" width="58.28515625" style="9" customWidth="1"/>
    <col min="12291" max="12291" width="12.5703125" style="9" bestFit="1" customWidth="1"/>
    <col min="12292" max="12292" width="12.5703125" style="9" customWidth="1"/>
    <col min="12293" max="12293" width="12.140625" style="9" customWidth="1"/>
    <col min="12294" max="12296" width="10.85546875" style="9" bestFit="1" customWidth="1"/>
    <col min="12297" max="12302" width="10.7109375" style="9" customWidth="1"/>
    <col min="12303" max="12303" width="11" style="9" customWidth="1"/>
    <col min="12304" max="12304" width="10.7109375" style="9" bestFit="1" customWidth="1"/>
    <col min="12305" max="12311" width="9.85546875" style="9" bestFit="1" customWidth="1"/>
    <col min="12312" max="12543" width="11.42578125" style="9"/>
    <col min="12544" max="12544" width="7.7109375" style="9" customWidth="1"/>
    <col min="12545" max="12545" width="54.7109375" style="9" customWidth="1"/>
    <col min="12546" max="12546" width="58.28515625" style="9" customWidth="1"/>
    <col min="12547" max="12547" width="12.5703125" style="9" bestFit="1" customWidth="1"/>
    <col min="12548" max="12548" width="12.5703125" style="9" customWidth="1"/>
    <col min="12549" max="12549" width="12.140625" style="9" customWidth="1"/>
    <col min="12550" max="12552" width="10.85546875" style="9" bestFit="1" customWidth="1"/>
    <col min="12553" max="12558" width="10.7109375" style="9" customWidth="1"/>
    <col min="12559" max="12559" width="11" style="9" customWidth="1"/>
    <col min="12560" max="12560" width="10.7109375" style="9" bestFit="1" customWidth="1"/>
    <col min="12561" max="12567" width="9.85546875" style="9" bestFit="1" customWidth="1"/>
    <col min="12568" max="12799" width="11.42578125" style="9"/>
    <col min="12800" max="12800" width="7.7109375" style="9" customWidth="1"/>
    <col min="12801" max="12801" width="54.7109375" style="9" customWidth="1"/>
    <col min="12802" max="12802" width="58.28515625" style="9" customWidth="1"/>
    <col min="12803" max="12803" width="12.5703125" style="9" bestFit="1" customWidth="1"/>
    <col min="12804" max="12804" width="12.5703125" style="9" customWidth="1"/>
    <col min="12805" max="12805" width="12.140625" style="9" customWidth="1"/>
    <col min="12806" max="12808" width="10.85546875" style="9" bestFit="1" customWidth="1"/>
    <col min="12809" max="12814" width="10.7109375" style="9" customWidth="1"/>
    <col min="12815" max="12815" width="11" style="9" customWidth="1"/>
    <col min="12816" max="12816" width="10.7109375" style="9" bestFit="1" customWidth="1"/>
    <col min="12817" max="12823" width="9.85546875" style="9" bestFit="1" customWidth="1"/>
    <col min="12824" max="13055" width="11.42578125" style="9"/>
    <col min="13056" max="13056" width="7.7109375" style="9" customWidth="1"/>
    <col min="13057" max="13057" width="54.7109375" style="9" customWidth="1"/>
    <col min="13058" max="13058" width="58.28515625" style="9" customWidth="1"/>
    <col min="13059" max="13059" width="12.5703125" style="9" bestFit="1" customWidth="1"/>
    <col min="13060" max="13060" width="12.5703125" style="9" customWidth="1"/>
    <col min="13061" max="13061" width="12.140625" style="9" customWidth="1"/>
    <col min="13062" max="13064" width="10.85546875" style="9" bestFit="1" customWidth="1"/>
    <col min="13065" max="13070" width="10.7109375" style="9" customWidth="1"/>
    <col min="13071" max="13071" width="11" style="9" customWidth="1"/>
    <col min="13072" max="13072" width="10.7109375" style="9" bestFit="1" customWidth="1"/>
    <col min="13073" max="13079" width="9.85546875" style="9" bestFit="1" customWidth="1"/>
    <col min="13080" max="13311" width="11.42578125" style="9"/>
    <col min="13312" max="13312" width="7.7109375" style="9" customWidth="1"/>
    <col min="13313" max="13313" width="54.7109375" style="9" customWidth="1"/>
    <col min="13314" max="13314" width="58.28515625" style="9" customWidth="1"/>
    <col min="13315" max="13315" width="12.5703125" style="9" bestFit="1" customWidth="1"/>
    <col min="13316" max="13316" width="12.5703125" style="9" customWidth="1"/>
    <col min="13317" max="13317" width="12.140625" style="9" customWidth="1"/>
    <col min="13318" max="13320" width="10.85546875" style="9" bestFit="1" customWidth="1"/>
    <col min="13321" max="13326" width="10.7109375" style="9" customWidth="1"/>
    <col min="13327" max="13327" width="11" style="9" customWidth="1"/>
    <col min="13328" max="13328" width="10.7109375" style="9" bestFit="1" customWidth="1"/>
    <col min="13329" max="13335" width="9.85546875" style="9" bestFit="1" customWidth="1"/>
    <col min="13336" max="13567" width="11.42578125" style="9"/>
    <col min="13568" max="13568" width="7.7109375" style="9" customWidth="1"/>
    <col min="13569" max="13569" width="54.7109375" style="9" customWidth="1"/>
    <col min="13570" max="13570" width="58.28515625" style="9" customWidth="1"/>
    <col min="13571" max="13571" width="12.5703125" style="9" bestFit="1" customWidth="1"/>
    <col min="13572" max="13572" width="12.5703125" style="9" customWidth="1"/>
    <col min="13573" max="13573" width="12.140625" style="9" customWidth="1"/>
    <col min="13574" max="13576" width="10.85546875" style="9" bestFit="1" customWidth="1"/>
    <col min="13577" max="13582" width="10.7109375" style="9" customWidth="1"/>
    <col min="13583" max="13583" width="11" style="9" customWidth="1"/>
    <col min="13584" max="13584" width="10.7109375" style="9" bestFit="1" customWidth="1"/>
    <col min="13585" max="13591" width="9.85546875" style="9" bestFit="1" customWidth="1"/>
    <col min="13592" max="13823" width="11.42578125" style="9"/>
    <col min="13824" max="13824" width="7.7109375" style="9" customWidth="1"/>
    <col min="13825" max="13825" width="54.7109375" style="9" customWidth="1"/>
    <col min="13826" max="13826" width="58.28515625" style="9" customWidth="1"/>
    <col min="13827" max="13827" width="12.5703125" style="9" bestFit="1" customWidth="1"/>
    <col min="13828" max="13828" width="12.5703125" style="9" customWidth="1"/>
    <col min="13829" max="13829" width="12.140625" style="9" customWidth="1"/>
    <col min="13830" max="13832" width="10.85546875" style="9" bestFit="1" customWidth="1"/>
    <col min="13833" max="13838" width="10.7109375" style="9" customWidth="1"/>
    <col min="13839" max="13839" width="11" style="9" customWidth="1"/>
    <col min="13840" max="13840" width="10.7109375" style="9" bestFit="1" customWidth="1"/>
    <col min="13841" max="13847" width="9.85546875" style="9" bestFit="1" customWidth="1"/>
    <col min="13848" max="14079" width="11.42578125" style="9"/>
    <col min="14080" max="14080" width="7.7109375" style="9" customWidth="1"/>
    <col min="14081" max="14081" width="54.7109375" style="9" customWidth="1"/>
    <col min="14082" max="14082" width="58.28515625" style="9" customWidth="1"/>
    <col min="14083" max="14083" width="12.5703125" style="9" bestFit="1" customWidth="1"/>
    <col min="14084" max="14084" width="12.5703125" style="9" customWidth="1"/>
    <col min="14085" max="14085" width="12.140625" style="9" customWidth="1"/>
    <col min="14086" max="14088" width="10.85546875" style="9" bestFit="1" customWidth="1"/>
    <col min="14089" max="14094" width="10.7109375" style="9" customWidth="1"/>
    <col min="14095" max="14095" width="11" style="9" customWidth="1"/>
    <col min="14096" max="14096" width="10.7109375" style="9" bestFit="1" customWidth="1"/>
    <col min="14097" max="14103" width="9.85546875" style="9" bestFit="1" customWidth="1"/>
    <col min="14104" max="14335" width="11.42578125" style="9"/>
    <col min="14336" max="14336" width="7.7109375" style="9" customWidth="1"/>
    <col min="14337" max="14337" width="54.7109375" style="9" customWidth="1"/>
    <col min="14338" max="14338" width="58.28515625" style="9" customWidth="1"/>
    <col min="14339" max="14339" width="12.5703125" style="9" bestFit="1" customWidth="1"/>
    <col min="14340" max="14340" width="12.5703125" style="9" customWidth="1"/>
    <col min="14341" max="14341" width="12.140625" style="9" customWidth="1"/>
    <col min="14342" max="14344" width="10.85546875" style="9" bestFit="1" customWidth="1"/>
    <col min="14345" max="14350" width="10.7109375" style="9" customWidth="1"/>
    <col min="14351" max="14351" width="11" style="9" customWidth="1"/>
    <col min="14352" max="14352" width="10.7109375" style="9" bestFit="1" customWidth="1"/>
    <col min="14353" max="14359" width="9.85546875" style="9" bestFit="1" customWidth="1"/>
    <col min="14360" max="14591" width="11.42578125" style="9"/>
    <col min="14592" max="14592" width="7.7109375" style="9" customWidth="1"/>
    <col min="14593" max="14593" width="54.7109375" style="9" customWidth="1"/>
    <col min="14594" max="14594" width="58.28515625" style="9" customWidth="1"/>
    <col min="14595" max="14595" width="12.5703125" style="9" bestFit="1" customWidth="1"/>
    <col min="14596" max="14596" width="12.5703125" style="9" customWidth="1"/>
    <col min="14597" max="14597" width="12.140625" style="9" customWidth="1"/>
    <col min="14598" max="14600" width="10.85546875" style="9" bestFit="1" customWidth="1"/>
    <col min="14601" max="14606" width="10.7109375" style="9" customWidth="1"/>
    <col min="14607" max="14607" width="11" style="9" customWidth="1"/>
    <col min="14608" max="14608" width="10.7109375" style="9" bestFit="1" customWidth="1"/>
    <col min="14609" max="14615" width="9.85546875" style="9" bestFit="1" customWidth="1"/>
    <col min="14616" max="14847" width="11.42578125" style="9"/>
    <col min="14848" max="14848" width="7.7109375" style="9" customWidth="1"/>
    <col min="14849" max="14849" width="54.7109375" style="9" customWidth="1"/>
    <col min="14850" max="14850" width="58.28515625" style="9" customWidth="1"/>
    <col min="14851" max="14851" width="12.5703125" style="9" bestFit="1" customWidth="1"/>
    <col min="14852" max="14852" width="12.5703125" style="9" customWidth="1"/>
    <col min="14853" max="14853" width="12.140625" style="9" customWidth="1"/>
    <col min="14854" max="14856" width="10.85546875" style="9" bestFit="1" customWidth="1"/>
    <col min="14857" max="14862" width="10.7109375" style="9" customWidth="1"/>
    <col min="14863" max="14863" width="11" style="9" customWidth="1"/>
    <col min="14864" max="14864" width="10.7109375" style="9" bestFit="1" customWidth="1"/>
    <col min="14865" max="14871" width="9.85546875" style="9" bestFit="1" customWidth="1"/>
    <col min="14872" max="15103" width="11.42578125" style="9"/>
    <col min="15104" max="15104" width="7.7109375" style="9" customWidth="1"/>
    <col min="15105" max="15105" width="54.7109375" style="9" customWidth="1"/>
    <col min="15106" max="15106" width="58.28515625" style="9" customWidth="1"/>
    <col min="15107" max="15107" width="12.5703125" style="9" bestFit="1" customWidth="1"/>
    <col min="15108" max="15108" width="12.5703125" style="9" customWidth="1"/>
    <col min="15109" max="15109" width="12.140625" style="9" customWidth="1"/>
    <col min="15110" max="15112" width="10.85546875" style="9" bestFit="1" customWidth="1"/>
    <col min="15113" max="15118" width="10.7109375" style="9" customWidth="1"/>
    <col min="15119" max="15119" width="11" style="9" customWidth="1"/>
    <col min="15120" max="15120" width="10.7109375" style="9" bestFit="1" customWidth="1"/>
    <col min="15121" max="15127" width="9.85546875" style="9" bestFit="1" customWidth="1"/>
    <col min="15128" max="15359" width="11.42578125" style="9"/>
    <col min="15360" max="15360" width="7.7109375" style="9" customWidth="1"/>
    <col min="15361" max="15361" width="54.7109375" style="9" customWidth="1"/>
    <col min="15362" max="15362" width="58.28515625" style="9" customWidth="1"/>
    <col min="15363" max="15363" width="12.5703125" style="9" bestFit="1" customWidth="1"/>
    <col min="15364" max="15364" width="12.5703125" style="9" customWidth="1"/>
    <col min="15365" max="15365" width="12.140625" style="9" customWidth="1"/>
    <col min="15366" max="15368" width="10.85546875" style="9" bestFit="1" customWidth="1"/>
    <col min="15369" max="15374" width="10.7109375" style="9" customWidth="1"/>
    <col min="15375" max="15375" width="11" style="9" customWidth="1"/>
    <col min="15376" max="15376" width="10.7109375" style="9" bestFit="1" customWidth="1"/>
    <col min="15377" max="15383" width="9.85546875" style="9" bestFit="1" customWidth="1"/>
    <col min="15384" max="15615" width="11.42578125" style="9"/>
    <col min="15616" max="15616" width="7.7109375" style="9" customWidth="1"/>
    <col min="15617" max="15617" width="54.7109375" style="9" customWidth="1"/>
    <col min="15618" max="15618" width="58.28515625" style="9" customWidth="1"/>
    <col min="15619" max="15619" width="12.5703125" style="9" bestFit="1" customWidth="1"/>
    <col min="15620" max="15620" width="12.5703125" style="9" customWidth="1"/>
    <col min="15621" max="15621" width="12.140625" style="9" customWidth="1"/>
    <col min="15622" max="15624" width="10.85546875" style="9" bestFit="1" customWidth="1"/>
    <col min="15625" max="15630" width="10.7109375" style="9" customWidth="1"/>
    <col min="15631" max="15631" width="11" style="9" customWidth="1"/>
    <col min="15632" max="15632" width="10.7109375" style="9" bestFit="1" customWidth="1"/>
    <col min="15633" max="15639" width="9.85546875" style="9" bestFit="1" customWidth="1"/>
    <col min="15640" max="15871" width="11.42578125" style="9"/>
    <col min="15872" max="15872" width="7.7109375" style="9" customWidth="1"/>
    <col min="15873" max="15873" width="54.7109375" style="9" customWidth="1"/>
    <col min="15874" max="15874" width="58.28515625" style="9" customWidth="1"/>
    <col min="15875" max="15875" width="12.5703125" style="9" bestFit="1" customWidth="1"/>
    <col min="15876" max="15876" width="12.5703125" style="9" customWidth="1"/>
    <col min="15877" max="15877" width="12.140625" style="9" customWidth="1"/>
    <col min="15878" max="15880" width="10.85546875" style="9" bestFit="1" customWidth="1"/>
    <col min="15881" max="15886" width="10.7109375" style="9" customWidth="1"/>
    <col min="15887" max="15887" width="11" style="9" customWidth="1"/>
    <col min="15888" max="15888" width="10.7109375" style="9" bestFit="1" customWidth="1"/>
    <col min="15889" max="15895" width="9.85546875" style="9" bestFit="1" customWidth="1"/>
    <col min="15896" max="16127" width="11.42578125" style="9"/>
    <col min="16128" max="16128" width="7.7109375" style="9" customWidth="1"/>
    <col min="16129" max="16129" width="54.7109375" style="9" customWidth="1"/>
    <col min="16130" max="16130" width="58.28515625" style="9" customWidth="1"/>
    <col min="16131" max="16131" width="12.5703125" style="9" bestFit="1" customWidth="1"/>
    <col min="16132" max="16132" width="12.5703125" style="9" customWidth="1"/>
    <col min="16133" max="16133" width="12.140625" style="9" customWidth="1"/>
    <col min="16134" max="16136" width="10.85546875" style="9" bestFit="1" customWidth="1"/>
    <col min="16137" max="16142" width="10.7109375" style="9" customWidth="1"/>
    <col min="16143" max="16143" width="11" style="9" customWidth="1"/>
    <col min="16144" max="16144" width="10.7109375" style="9" bestFit="1" customWidth="1"/>
    <col min="16145" max="16151" width="9.85546875" style="9" bestFit="1" customWidth="1"/>
    <col min="16152" max="16384" width="11.42578125" style="9"/>
  </cols>
  <sheetData>
    <row r="1" spans="1:27" ht="20.25" x14ac:dyDescent="0.3">
      <c r="A1" s="7" t="s">
        <v>323</v>
      </c>
    </row>
    <row r="2" spans="1:27" ht="20.25" x14ac:dyDescent="0.3">
      <c r="A2" s="7"/>
      <c r="B2" s="7" t="s">
        <v>237</v>
      </c>
    </row>
    <row r="3" spans="1:27" ht="16.5" thickBot="1" x14ac:dyDescent="0.3">
      <c r="A3" s="10" t="s">
        <v>238</v>
      </c>
      <c r="B3" s="10"/>
      <c r="C3" s="10"/>
      <c r="D3" s="3"/>
      <c r="E3" s="11"/>
      <c r="F3" s="12"/>
      <c r="G3" s="13"/>
      <c r="H3" s="9"/>
      <c r="I3" s="9"/>
      <c r="J3" s="9"/>
      <c r="K3" s="9"/>
      <c r="L3" s="9"/>
      <c r="M3" s="9"/>
      <c r="N3" s="9"/>
    </row>
    <row r="4" spans="1:27" x14ac:dyDescent="0.25">
      <c r="A4" s="14"/>
      <c r="B4" s="15"/>
      <c r="C4" s="16">
        <v>0</v>
      </c>
      <c r="D4" s="16">
        <v>1</v>
      </c>
      <c r="E4" s="16">
        <v>2</v>
      </c>
      <c r="F4" s="16">
        <v>3</v>
      </c>
      <c r="G4" s="16">
        <v>4</v>
      </c>
      <c r="H4" s="16">
        <v>5</v>
      </c>
      <c r="I4" s="16">
        <v>6</v>
      </c>
      <c r="J4" s="16">
        <v>7</v>
      </c>
      <c r="K4" s="16">
        <v>8</v>
      </c>
      <c r="L4" s="16">
        <v>9</v>
      </c>
      <c r="M4" s="16">
        <v>10</v>
      </c>
      <c r="N4" s="16">
        <v>11</v>
      </c>
      <c r="O4" s="16">
        <v>12</v>
      </c>
      <c r="P4" s="16">
        <v>13</v>
      </c>
      <c r="Q4" s="16">
        <v>14</v>
      </c>
      <c r="R4" s="16">
        <v>15</v>
      </c>
      <c r="S4" s="16">
        <v>16</v>
      </c>
      <c r="T4" s="16">
        <v>17</v>
      </c>
      <c r="U4" s="16">
        <v>18</v>
      </c>
      <c r="V4" s="16">
        <v>19</v>
      </c>
      <c r="W4" s="16">
        <v>20</v>
      </c>
      <c r="X4" s="16">
        <v>21</v>
      </c>
      <c r="Y4" s="16">
        <v>22</v>
      </c>
      <c r="Z4" s="16">
        <v>23</v>
      </c>
      <c r="AA4" s="16">
        <v>24</v>
      </c>
    </row>
    <row r="5" spans="1:27" x14ac:dyDescent="0.25">
      <c r="A5" s="17"/>
      <c r="B5" s="18"/>
      <c r="C5" s="19"/>
      <c r="D5" s="19"/>
      <c r="E5" s="19"/>
      <c r="F5" s="19"/>
      <c r="G5" s="20"/>
      <c r="H5" s="19"/>
      <c r="I5" s="21"/>
      <c r="J5" s="21"/>
      <c r="K5" s="21"/>
      <c r="L5" s="21"/>
      <c r="M5" s="21"/>
      <c r="N5" s="19"/>
      <c r="O5" s="19"/>
      <c r="P5" s="19"/>
      <c r="Q5" s="20"/>
      <c r="R5" s="19"/>
      <c r="S5" s="21"/>
      <c r="T5" s="21"/>
      <c r="U5" s="21"/>
      <c r="V5" s="21"/>
      <c r="W5" s="21"/>
      <c r="X5" s="21"/>
      <c r="Y5" s="21"/>
      <c r="Z5" s="21"/>
      <c r="AA5" s="21"/>
    </row>
    <row r="6" spans="1:27" x14ac:dyDescent="0.25">
      <c r="A6" s="22" t="s">
        <v>239</v>
      </c>
      <c r="B6" s="23"/>
      <c r="C6" s="24"/>
      <c r="D6" s="24"/>
      <c r="E6" s="24"/>
      <c r="F6" s="24"/>
      <c r="G6" s="25"/>
      <c r="H6" s="24"/>
      <c r="I6" s="26"/>
      <c r="J6" s="26"/>
      <c r="K6" s="26"/>
      <c r="L6" s="26"/>
      <c r="M6" s="26"/>
      <c r="N6" s="24"/>
      <c r="O6" s="24"/>
      <c r="P6" s="24"/>
      <c r="Q6" s="25"/>
      <c r="R6" s="24"/>
      <c r="S6" s="26"/>
      <c r="T6" s="26"/>
      <c r="U6" s="26"/>
      <c r="V6" s="26"/>
      <c r="W6" s="26"/>
      <c r="X6" s="26"/>
      <c r="Y6" s="26"/>
      <c r="Z6" s="26"/>
      <c r="AA6" s="26"/>
    </row>
    <row r="7" spans="1:27" x14ac:dyDescent="0.25">
      <c r="A7" s="27" t="s">
        <v>240</v>
      </c>
      <c r="B7" s="28"/>
      <c r="C7" s="29">
        <v>500</v>
      </c>
      <c r="D7" s="29">
        <f>+C7+50</f>
        <v>550</v>
      </c>
      <c r="E7" s="29">
        <f t="shared" ref="E7:M7" si="0">+D7+50</f>
        <v>600</v>
      </c>
      <c r="F7" s="29">
        <f t="shared" si="0"/>
        <v>650</v>
      </c>
      <c r="G7" s="29">
        <f t="shared" si="0"/>
        <v>700</v>
      </c>
      <c r="H7" s="29">
        <f t="shared" si="0"/>
        <v>750</v>
      </c>
      <c r="I7" s="29">
        <f t="shared" si="0"/>
        <v>800</v>
      </c>
      <c r="J7" s="29">
        <f t="shared" si="0"/>
        <v>850</v>
      </c>
      <c r="K7" s="29">
        <f t="shared" si="0"/>
        <v>900</v>
      </c>
      <c r="L7" s="29">
        <f t="shared" si="0"/>
        <v>950</v>
      </c>
      <c r="M7" s="29">
        <f t="shared" si="0"/>
        <v>1000</v>
      </c>
      <c r="N7" s="29">
        <f t="shared" ref="N7:AA7" si="1">+M7*(1+N29)</f>
        <v>1010</v>
      </c>
      <c r="O7" s="29">
        <f t="shared" si="1"/>
        <v>1020.1</v>
      </c>
      <c r="P7" s="29">
        <f t="shared" si="1"/>
        <v>1030.3009999999999</v>
      </c>
      <c r="Q7" s="29">
        <f t="shared" si="1"/>
        <v>1040.60401</v>
      </c>
      <c r="R7" s="29">
        <f t="shared" si="1"/>
        <v>1051.0100500999999</v>
      </c>
      <c r="S7" s="29">
        <f t="shared" si="1"/>
        <v>1061.5201506009998</v>
      </c>
      <c r="T7" s="29">
        <f t="shared" si="1"/>
        <v>1072.1353521070098</v>
      </c>
      <c r="U7" s="29">
        <f t="shared" si="1"/>
        <v>1082.8567056280799</v>
      </c>
      <c r="V7" s="29">
        <f t="shared" si="1"/>
        <v>1093.6852726843608</v>
      </c>
      <c r="W7" s="29">
        <f t="shared" si="1"/>
        <v>1104.6221254112045</v>
      </c>
      <c r="X7" s="29">
        <f t="shared" si="1"/>
        <v>1115.6683466653164</v>
      </c>
      <c r="Y7" s="29">
        <f t="shared" si="1"/>
        <v>1126.8250301319697</v>
      </c>
      <c r="Z7" s="29">
        <f t="shared" si="1"/>
        <v>1138.0932804332895</v>
      </c>
      <c r="AA7" s="29">
        <f t="shared" si="1"/>
        <v>1149.4742132376223</v>
      </c>
    </row>
    <row r="8" spans="1:27" x14ac:dyDescent="0.25">
      <c r="A8" s="30" t="s">
        <v>241</v>
      </c>
      <c r="B8" s="31"/>
      <c r="C8" s="32">
        <v>1300</v>
      </c>
      <c r="D8" s="32">
        <v>1500</v>
      </c>
      <c r="E8" s="32">
        <v>1700</v>
      </c>
      <c r="F8" s="32">
        <v>1900</v>
      </c>
      <c r="G8" s="32">
        <v>2300</v>
      </c>
      <c r="H8" s="32">
        <v>2900</v>
      </c>
      <c r="I8" s="32">
        <v>3200</v>
      </c>
      <c r="J8" s="32">
        <v>3300</v>
      </c>
      <c r="K8" s="32">
        <v>3500</v>
      </c>
      <c r="L8" s="32">
        <v>3800</v>
      </c>
      <c r="M8" s="32">
        <v>4000</v>
      </c>
      <c r="N8" s="32">
        <f>+M8+N21</f>
        <v>4306.03</v>
      </c>
      <c r="O8" s="32">
        <f t="shared" ref="O8:AA8" si="2">+N8+O21</f>
        <v>4615.1202999999996</v>
      </c>
      <c r="P8" s="32">
        <f t="shared" si="2"/>
        <v>4927.3015029999997</v>
      </c>
      <c r="Q8" s="32">
        <f t="shared" si="2"/>
        <v>5242.6045180299998</v>
      </c>
      <c r="R8" s="32">
        <f t="shared" si="2"/>
        <v>5561.0605632102997</v>
      </c>
      <c r="S8" s="32">
        <f t="shared" si="2"/>
        <v>5882.7011688424027</v>
      </c>
      <c r="T8" s="32">
        <f t="shared" si="2"/>
        <v>6207.5581805308266</v>
      </c>
      <c r="U8" s="32">
        <f t="shared" si="2"/>
        <v>6535.6637623361348</v>
      </c>
      <c r="V8" s="32">
        <f t="shared" si="2"/>
        <v>6867.0503999594966</v>
      </c>
      <c r="W8" s="32">
        <f t="shared" si="2"/>
        <v>7201.7509039590914</v>
      </c>
      <c r="X8" s="32">
        <f t="shared" si="2"/>
        <v>7539.7984129986826</v>
      </c>
      <c r="Y8" s="32">
        <f t="shared" si="2"/>
        <v>7881.2263971286693</v>
      </c>
      <c r="Z8" s="32">
        <f t="shared" si="2"/>
        <v>8226.0686610999564</v>
      </c>
      <c r="AA8" s="32">
        <f t="shared" si="2"/>
        <v>8574.3593477109553</v>
      </c>
    </row>
    <row r="9" spans="1:27" x14ac:dyDescent="0.25">
      <c r="A9" s="33" t="s">
        <v>242</v>
      </c>
      <c r="B9" s="34"/>
      <c r="C9" s="35">
        <v>-200</v>
      </c>
      <c r="D9" s="35">
        <f t="shared" ref="D9:W9" si="3">-D21+C9</f>
        <v>-400</v>
      </c>
      <c r="E9" s="35">
        <f t="shared" si="3"/>
        <v>-700</v>
      </c>
      <c r="F9" s="35">
        <f t="shared" si="3"/>
        <v>-1020</v>
      </c>
      <c r="G9" s="35">
        <f t="shared" si="3"/>
        <v>-1370</v>
      </c>
      <c r="H9" s="35">
        <f t="shared" si="3"/>
        <v>-1770</v>
      </c>
      <c r="I9" s="35">
        <f t="shared" si="3"/>
        <v>-2090</v>
      </c>
      <c r="J9" s="35">
        <f t="shared" si="3"/>
        <v>-2410</v>
      </c>
      <c r="K9" s="35">
        <f t="shared" si="3"/>
        <v>-2710</v>
      </c>
      <c r="L9" s="35">
        <f t="shared" si="3"/>
        <v>-3010</v>
      </c>
      <c r="M9" s="35">
        <f t="shared" si="3"/>
        <v>-3313</v>
      </c>
      <c r="N9" s="35">
        <f t="shared" si="3"/>
        <v>-3619.03</v>
      </c>
      <c r="O9" s="35">
        <f t="shared" si="3"/>
        <v>-3928.1203</v>
      </c>
      <c r="P9" s="35">
        <f t="shared" si="3"/>
        <v>-4240.3015029999997</v>
      </c>
      <c r="Q9" s="35">
        <f t="shared" si="3"/>
        <v>-4555.6045180299998</v>
      </c>
      <c r="R9" s="35">
        <f t="shared" si="3"/>
        <v>-4874.0605632102997</v>
      </c>
      <c r="S9" s="35">
        <f t="shared" si="3"/>
        <v>-5195.7011688424027</v>
      </c>
      <c r="T9" s="35">
        <f t="shared" si="3"/>
        <v>-5520.5581805308266</v>
      </c>
      <c r="U9" s="35">
        <f t="shared" si="3"/>
        <v>-5848.6637623361348</v>
      </c>
      <c r="V9" s="35">
        <f t="shared" si="3"/>
        <v>-6180.0503999594966</v>
      </c>
      <c r="W9" s="35">
        <f t="shared" si="3"/>
        <v>-6514.7509039590914</v>
      </c>
      <c r="X9" s="35">
        <f>-X21+W9</f>
        <v>-6852.7984129986826</v>
      </c>
      <c r="Y9" s="35">
        <f>-Y21+X9</f>
        <v>-7194.2263971286693</v>
      </c>
      <c r="Z9" s="35">
        <f>-Z21+Y9</f>
        <v>-7539.0686610999564</v>
      </c>
      <c r="AA9" s="35">
        <f>-AA21+Z9</f>
        <v>-7887.3593477109562</v>
      </c>
    </row>
    <row r="10" spans="1:27" x14ac:dyDescent="0.25">
      <c r="A10" s="36" t="s">
        <v>243</v>
      </c>
      <c r="B10" s="37"/>
      <c r="C10" s="38">
        <f t="shared" ref="C10:W10" si="4">C8+C9</f>
        <v>1100</v>
      </c>
      <c r="D10" s="38">
        <f t="shared" si="4"/>
        <v>1100</v>
      </c>
      <c r="E10" s="38">
        <f t="shared" si="4"/>
        <v>1000</v>
      </c>
      <c r="F10" s="38">
        <f t="shared" si="4"/>
        <v>880</v>
      </c>
      <c r="G10" s="38">
        <f t="shared" si="4"/>
        <v>930</v>
      </c>
      <c r="H10" s="38">
        <f t="shared" si="4"/>
        <v>1130</v>
      </c>
      <c r="I10" s="38">
        <f t="shared" si="4"/>
        <v>1110</v>
      </c>
      <c r="J10" s="38">
        <f t="shared" si="4"/>
        <v>890</v>
      </c>
      <c r="K10" s="38">
        <f t="shared" si="4"/>
        <v>790</v>
      </c>
      <c r="L10" s="38">
        <f t="shared" si="4"/>
        <v>790</v>
      </c>
      <c r="M10" s="38">
        <f t="shared" si="4"/>
        <v>687</v>
      </c>
      <c r="N10" s="38">
        <f t="shared" si="4"/>
        <v>686.99999999999955</v>
      </c>
      <c r="O10" s="38">
        <f t="shared" si="4"/>
        <v>686.99999999999955</v>
      </c>
      <c r="P10" s="38">
        <f t="shared" si="4"/>
        <v>687</v>
      </c>
      <c r="Q10" s="38">
        <f t="shared" si="4"/>
        <v>687</v>
      </c>
      <c r="R10" s="38">
        <f t="shared" si="4"/>
        <v>687</v>
      </c>
      <c r="S10" s="38">
        <f t="shared" si="4"/>
        <v>687</v>
      </c>
      <c r="T10" s="38">
        <f t="shared" si="4"/>
        <v>687</v>
      </c>
      <c r="U10" s="38">
        <f t="shared" si="4"/>
        <v>687</v>
      </c>
      <c r="V10" s="38">
        <f t="shared" si="4"/>
        <v>687</v>
      </c>
      <c r="W10" s="38">
        <f t="shared" si="4"/>
        <v>687</v>
      </c>
      <c r="X10" s="38">
        <f>X8+X9</f>
        <v>687</v>
      </c>
      <c r="Y10" s="38">
        <f>Y8+Y9</f>
        <v>687</v>
      </c>
      <c r="Z10" s="38">
        <f>Z8+Z9</f>
        <v>687</v>
      </c>
      <c r="AA10" s="38">
        <f>AA8+AA9</f>
        <v>686.99999999999909</v>
      </c>
    </row>
    <row r="11" spans="1:27" x14ac:dyDescent="0.25">
      <c r="A11" s="39" t="s">
        <v>244</v>
      </c>
      <c r="B11" s="40"/>
      <c r="C11" s="41">
        <f>+C7+C10+C6</f>
        <v>1600</v>
      </c>
      <c r="D11" s="41">
        <f t="shared" ref="D11:W11" si="5">+D7+D10</f>
        <v>1650</v>
      </c>
      <c r="E11" s="41">
        <f t="shared" si="5"/>
        <v>1600</v>
      </c>
      <c r="F11" s="41">
        <f t="shared" si="5"/>
        <v>1530</v>
      </c>
      <c r="G11" s="41">
        <f t="shared" si="5"/>
        <v>1630</v>
      </c>
      <c r="H11" s="41">
        <f t="shared" si="5"/>
        <v>1880</v>
      </c>
      <c r="I11" s="41">
        <f t="shared" si="5"/>
        <v>1910</v>
      </c>
      <c r="J11" s="41">
        <f t="shared" si="5"/>
        <v>1740</v>
      </c>
      <c r="K11" s="41">
        <f t="shared" si="5"/>
        <v>1690</v>
      </c>
      <c r="L11" s="41">
        <f t="shared" si="5"/>
        <v>1740</v>
      </c>
      <c r="M11" s="41">
        <f t="shared" si="5"/>
        <v>1687</v>
      </c>
      <c r="N11" s="41">
        <f t="shared" si="5"/>
        <v>1696.9999999999995</v>
      </c>
      <c r="O11" s="41">
        <f t="shared" si="5"/>
        <v>1707.0999999999995</v>
      </c>
      <c r="P11" s="41">
        <f t="shared" si="5"/>
        <v>1717.3009999999999</v>
      </c>
      <c r="Q11" s="41">
        <f t="shared" si="5"/>
        <v>1727.60401</v>
      </c>
      <c r="R11" s="41">
        <f t="shared" si="5"/>
        <v>1738.0100500999999</v>
      </c>
      <c r="S11" s="41">
        <f t="shared" si="5"/>
        <v>1748.5201506009998</v>
      </c>
      <c r="T11" s="41">
        <f t="shared" si="5"/>
        <v>1759.1353521070098</v>
      </c>
      <c r="U11" s="41">
        <f t="shared" si="5"/>
        <v>1769.8567056280799</v>
      </c>
      <c r="V11" s="41">
        <f t="shared" si="5"/>
        <v>1780.6852726843608</v>
      </c>
      <c r="W11" s="41">
        <f t="shared" si="5"/>
        <v>1791.6221254112045</v>
      </c>
      <c r="X11" s="41">
        <f>+X7+X10</f>
        <v>1802.6683466653164</v>
      </c>
      <c r="Y11" s="41">
        <f>+Y7+Y10</f>
        <v>1813.8250301319697</v>
      </c>
      <c r="Z11" s="41">
        <f>+Z7+Z10</f>
        <v>1825.0932804332895</v>
      </c>
      <c r="AA11" s="41">
        <f>+AA7+AA10</f>
        <v>1836.4742132376214</v>
      </c>
    </row>
    <row r="12" spans="1:27" x14ac:dyDescent="0.25">
      <c r="A12" s="42"/>
      <c r="B12" s="43"/>
      <c r="C12" s="44"/>
      <c r="D12" s="44"/>
      <c r="E12" s="44"/>
      <c r="F12" s="44"/>
      <c r="G12" s="44"/>
      <c r="H12" s="45"/>
      <c r="I12" s="45"/>
      <c r="J12" s="45"/>
      <c r="K12" s="45"/>
      <c r="L12" s="45"/>
      <c r="M12" s="45"/>
      <c r="N12" s="44"/>
      <c r="O12" s="44"/>
      <c r="P12" s="44"/>
      <c r="Q12" s="44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x14ac:dyDescent="0.25">
      <c r="A13" s="46"/>
      <c r="B13" s="47"/>
      <c r="C13" s="48"/>
      <c r="D13" s="48"/>
      <c r="E13" s="48"/>
      <c r="F13" s="48"/>
      <c r="G13" s="48"/>
      <c r="H13" s="49"/>
      <c r="I13" s="50"/>
      <c r="J13" s="50"/>
      <c r="K13" s="50"/>
      <c r="L13" s="50"/>
      <c r="M13" s="50"/>
      <c r="N13" s="48"/>
      <c r="O13" s="48"/>
      <c r="P13" s="48"/>
      <c r="Q13" s="48"/>
      <c r="R13" s="49"/>
      <c r="S13" s="50"/>
      <c r="T13" s="50"/>
      <c r="U13" s="50"/>
      <c r="V13" s="50"/>
      <c r="W13" s="50"/>
      <c r="X13" s="50"/>
      <c r="Y13" s="50"/>
      <c r="Z13" s="50"/>
      <c r="AA13" s="50"/>
    </row>
    <row r="14" spans="1:27" x14ac:dyDescent="0.25">
      <c r="A14" s="51" t="s">
        <v>245</v>
      </c>
      <c r="B14" s="52"/>
      <c r="C14" s="53">
        <v>700</v>
      </c>
      <c r="D14" s="53">
        <f>+D11-D15</f>
        <v>750</v>
      </c>
      <c r="E14" s="53">
        <f t="shared" ref="E14:AA14" si="6">+E11-E15</f>
        <v>700</v>
      </c>
      <c r="F14" s="53">
        <f t="shared" si="6"/>
        <v>630</v>
      </c>
      <c r="G14" s="53">
        <f t="shared" si="6"/>
        <v>730</v>
      </c>
      <c r="H14" s="53">
        <f t="shared" si="6"/>
        <v>980</v>
      </c>
      <c r="I14" s="53">
        <f t="shared" si="6"/>
        <v>1010</v>
      </c>
      <c r="J14" s="53">
        <f t="shared" si="6"/>
        <v>840</v>
      </c>
      <c r="K14" s="53">
        <f t="shared" si="6"/>
        <v>790</v>
      </c>
      <c r="L14" s="53">
        <f t="shared" si="6"/>
        <v>840</v>
      </c>
      <c r="M14" s="53">
        <f t="shared" si="6"/>
        <v>787</v>
      </c>
      <c r="N14" s="53">
        <f t="shared" si="6"/>
        <v>796.99999999999955</v>
      </c>
      <c r="O14" s="53">
        <f t="shared" si="6"/>
        <v>807.09999999999945</v>
      </c>
      <c r="P14" s="53">
        <f t="shared" si="6"/>
        <v>817.30099999999993</v>
      </c>
      <c r="Q14" s="53">
        <f t="shared" si="6"/>
        <v>827.60401000000002</v>
      </c>
      <c r="R14" s="53">
        <f t="shared" si="6"/>
        <v>838.01005009999994</v>
      </c>
      <c r="S14" s="53">
        <f t="shared" si="6"/>
        <v>848.52015060099984</v>
      </c>
      <c r="T14" s="53">
        <f t="shared" si="6"/>
        <v>859.13535210700979</v>
      </c>
      <c r="U14" s="53">
        <f t="shared" si="6"/>
        <v>869.85670562807991</v>
      </c>
      <c r="V14" s="53">
        <f t="shared" si="6"/>
        <v>880.68527268436083</v>
      </c>
      <c r="W14" s="53">
        <f t="shared" si="6"/>
        <v>891.62212541120448</v>
      </c>
      <c r="X14" s="53">
        <f t="shared" si="6"/>
        <v>902.66834666531645</v>
      </c>
      <c r="Y14" s="53">
        <f t="shared" si="6"/>
        <v>913.8250301319697</v>
      </c>
      <c r="Z14" s="53">
        <f t="shared" si="6"/>
        <v>925.09328043328946</v>
      </c>
      <c r="AA14" s="53">
        <f t="shared" si="6"/>
        <v>936.47421323762137</v>
      </c>
    </row>
    <row r="15" spans="1:27" x14ac:dyDescent="0.25">
      <c r="A15" s="51" t="s">
        <v>246</v>
      </c>
      <c r="B15" s="52"/>
      <c r="C15" s="35">
        <f>+C11-C14</f>
        <v>900</v>
      </c>
      <c r="D15" s="35">
        <f>+C15</f>
        <v>900</v>
      </c>
      <c r="E15" s="35">
        <f t="shared" ref="E15:AA15" si="7">+D15</f>
        <v>900</v>
      </c>
      <c r="F15" s="35">
        <f t="shared" si="7"/>
        <v>900</v>
      </c>
      <c r="G15" s="35">
        <f t="shared" si="7"/>
        <v>900</v>
      </c>
      <c r="H15" s="35">
        <f t="shared" si="7"/>
        <v>900</v>
      </c>
      <c r="I15" s="35">
        <f t="shared" si="7"/>
        <v>900</v>
      </c>
      <c r="J15" s="35">
        <f t="shared" si="7"/>
        <v>900</v>
      </c>
      <c r="K15" s="35">
        <f t="shared" si="7"/>
        <v>900</v>
      </c>
      <c r="L15" s="35">
        <f t="shared" si="7"/>
        <v>900</v>
      </c>
      <c r="M15" s="35">
        <f t="shared" si="7"/>
        <v>900</v>
      </c>
      <c r="N15" s="35">
        <f t="shared" si="7"/>
        <v>900</v>
      </c>
      <c r="O15" s="35">
        <f t="shared" si="7"/>
        <v>900</v>
      </c>
      <c r="P15" s="35">
        <f t="shared" si="7"/>
        <v>900</v>
      </c>
      <c r="Q15" s="35">
        <f t="shared" si="7"/>
        <v>900</v>
      </c>
      <c r="R15" s="35">
        <f t="shared" si="7"/>
        <v>900</v>
      </c>
      <c r="S15" s="35">
        <f t="shared" si="7"/>
        <v>900</v>
      </c>
      <c r="T15" s="35">
        <f t="shared" si="7"/>
        <v>900</v>
      </c>
      <c r="U15" s="35">
        <f t="shared" si="7"/>
        <v>900</v>
      </c>
      <c r="V15" s="35">
        <f t="shared" si="7"/>
        <v>900</v>
      </c>
      <c r="W15" s="35">
        <f t="shared" si="7"/>
        <v>900</v>
      </c>
      <c r="X15" s="35">
        <f t="shared" si="7"/>
        <v>900</v>
      </c>
      <c r="Y15" s="35">
        <f t="shared" si="7"/>
        <v>900</v>
      </c>
      <c r="Z15" s="35">
        <f t="shared" si="7"/>
        <v>900</v>
      </c>
      <c r="AA15" s="35">
        <f t="shared" si="7"/>
        <v>900</v>
      </c>
    </row>
    <row r="16" spans="1:27" ht="16.5" thickBot="1" x14ac:dyDescent="0.3">
      <c r="A16" s="54" t="s">
        <v>247</v>
      </c>
      <c r="B16" s="55"/>
      <c r="C16" s="56">
        <f t="shared" ref="C16:W16" si="8">C13+C14+C15</f>
        <v>1600</v>
      </c>
      <c r="D16" s="56">
        <f t="shared" si="8"/>
        <v>1650</v>
      </c>
      <c r="E16" s="56">
        <f t="shared" si="8"/>
        <v>1600</v>
      </c>
      <c r="F16" s="56">
        <f t="shared" si="8"/>
        <v>1530</v>
      </c>
      <c r="G16" s="56">
        <f t="shared" si="8"/>
        <v>1630</v>
      </c>
      <c r="H16" s="56">
        <f t="shared" si="8"/>
        <v>1880</v>
      </c>
      <c r="I16" s="56">
        <f t="shared" si="8"/>
        <v>1910</v>
      </c>
      <c r="J16" s="56">
        <f t="shared" si="8"/>
        <v>1740</v>
      </c>
      <c r="K16" s="56">
        <f t="shared" si="8"/>
        <v>1690</v>
      </c>
      <c r="L16" s="56">
        <f t="shared" si="8"/>
        <v>1740</v>
      </c>
      <c r="M16" s="56">
        <f t="shared" si="8"/>
        <v>1687</v>
      </c>
      <c r="N16" s="56">
        <f t="shared" si="8"/>
        <v>1696.9999999999995</v>
      </c>
      <c r="O16" s="56">
        <f t="shared" si="8"/>
        <v>1707.0999999999995</v>
      </c>
      <c r="P16" s="56">
        <f t="shared" si="8"/>
        <v>1717.3009999999999</v>
      </c>
      <c r="Q16" s="56">
        <f t="shared" si="8"/>
        <v>1727.60401</v>
      </c>
      <c r="R16" s="56">
        <f t="shared" si="8"/>
        <v>1738.0100500999999</v>
      </c>
      <c r="S16" s="56">
        <f t="shared" si="8"/>
        <v>1748.5201506009998</v>
      </c>
      <c r="T16" s="56">
        <f t="shared" si="8"/>
        <v>1759.1353521070098</v>
      </c>
      <c r="U16" s="56">
        <f t="shared" si="8"/>
        <v>1769.8567056280799</v>
      </c>
      <c r="V16" s="56">
        <f t="shared" si="8"/>
        <v>1780.6852726843608</v>
      </c>
      <c r="W16" s="56">
        <f t="shared" si="8"/>
        <v>1791.6221254112045</v>
      </c>
      <c r="X16" s="56">
        <f>X13+X14+X15</f>
        <v>1802.6683466653164</v>
      </c>
      <c r="Y16" s="56">
        <f>Y13+Y14+Y15</f>
        <v>1813.8250301319697</v>
      </c>
      <c r="Z16" s="56">
        <f>Z13+Z14+Z15</f>
        <v>1825.0932804332895</v>
      </c>
      <c r="AA16" s="56">
        <f>AA13+AA14+AA15</f>
        <v>1836.4742132376214</v>
      </c>
    </row>
    <row r="17" spans="1:27" ht="16.5" thickBot="1" x14ac:dyDescent="0.3">
      <c r="A17" s="43"/>
      <c r="B17" s="13"/>
      <c r="C17" s="21"/>
      <c r="D17" s="57"/>
      <c r="E17" s="57"/>
      <c r="F17" s="57"/>
      <c r="G17" s="57"/>
      <c r="H17" s="9"/>
      <c r="I17" s="9"/>
      <c r="J17" s="9"/>
      <c r="K17" s="9"/>
      <c r="L17" s="9"/>
      <c r="M17" s="9"/>
      <c r="N17" s="57"/>
      <c r="O17" s="57"/>
      <c r="P17" s="57"/>
      <c r="Q17" s="57"/>
    </row>
    <row r="18" spans="1:27" x14ac:dyDescent="0.25">
      <c r="A18" s="58" t="s">
        <v>248</v>
      </c>
      <c r="B18" s="59"/>
      <c r="C18" s="60"/>
      <c r="D18" s="60"/>
      <c r="E18" s="60"/>
      <c r="F18" s="60"/>
      <c r="G18" s="60"/>
      <c r="H18" s="61"/>
      <c r="I18" s="61"/>
      <c r="J18" s="61"/>
      <c r="K18" s="61"/>
      <c r="L18" s="61"/>
      <c r="M18" s="61"/>
      <c r="N18" s="60"/>
      <c r="O18" s="60"/>
      <c r="P18" s="60"/>
      <c r="Q18" s="60"/>
      <c r="R18" s="61"/>
      <c r="S18" s="61"/>
      <c r="T18" s="61"/>
      <c r="U18" s="61"/>
      <c r="V18" s="61"/>
      <c r="W18" s="61"/>
      <c r="X18" s="61"/>
      <c r="Y18" s="61"/>
      <c r="Z18" s="61"/>
      <c r="AA18" s="61"/>
    </row>
    <row r="19" spans="1:27" x14ac:dyDescent="0.25">
      <c r="A19" s="62"/>
      <c r="B19" s="63"/>
      <c r="C19" s="16">
        <v>0</v>
      </c>
      <c r="D19" s="16">
        <v>1</v>
      </c>
      <c r="E19" s="16">
        <v>2</v>
      </c>
      <c r="F19" s="16">
        <v>3</v>
      </c>
      <c r="G19" s="16">
        <v>4</v>
      </c>
      <c r="H19" s="16">
        <v>5</v>
      </c>
      <c r="I19" s="16">
        <v>6</v>
      </c>
      <c r="J19" s="16">
        <v>7</v>
      </c>
      <c r="K19" s="16">
        <v>8</v>
      </c>
      <c r="L19" s="16">
        <v>9</v>
      </c>
      <c r="M19" s="16">
        <v>10</v>
      </c>
      <c r="N19" s="16">
        <v>11</v>
      </c>
      <c r="O19" s="16">
        <v>12</v>
      </c>
      <c r="P19" s="16">
        <v>13</v>
      </c>
      <c r="Q19" s="16">
        <v>14</v>
      </c>
      <c r="R19" s="16">
        <v>15</v>
      </c>
      <c r="S19" s="16">
        <v>16</v>
      </c>
      <c r="T19" s="16">
        <v>17</v>
      </c>
      <c r="U19" s="16">
        <v>18</v>
      </c>
      <c r="V19" s="16">
        <v>19</v>
      </c>
      <c r="W19" s="16">
        <v>20</v>
      </c>
      <c r="X19" s="16">
        <v>21</v>
      </c>
      <c r="Y19" s="16">
        <v>22</v>
      </c>
      <c r="Z19" s="16">
        <v>23</v>
      </c>
      <c r="AA19" s="16">
        <v>24</v>
      </c>
    </row>
    <row r="20" spans="1:27" x14ac:dyDescent="0.25">
      <c r="A20" s="64" t="s">
        <v>249</v>
      </c>
      <c r="B20" s="65"/>
      <c r="C20" s="66"/>
      <c r="D20" s="67">
        <v>490</v>
      </c>
      <c r="E20" s="67">
        <v>510</v>
      </c>
      <c r="F20" s="67">
        <f>+E20+20</f>
        <v>530</v>
      </c>
      <c r="G20" s="67">
        <f t="shared" ref="G20:L20" si="9">+F20+20</f>
        <v>550</v>
      </c>
      <c r="H20" s="67">
        <f t="shared" si="9"/>
        <v>570</v>
      </c>
      <c r="I20" s="67">
        <f t="shared" si="9"/>
        <v>590</v>
      </c>
      <c r="J20" s="67">
        <f t="shared" si="9"/>
        <v>610</v>
      </c>
      <c r="K20" s="67">
        <f t="shared" si="9"/>
        <v>630</v>
      </c>
      <c r="L20" s="67">
        <f t="shared" si="9"/>
        <v>650</v>
      </c>
      <c r="M20" s="68">
        <f t="shared" ref="M20:AA21" si="10">+L20*(1+M$29)</f>
        <v>656.5</v>
      </c>
      <c r="N20" s="69">
        <f t="shared" si="10"/>
        <v>663.06500000000005</v>
      </c>
      <c r="O20" s="69">
        <f t="shared" si="10"/>
        <v>669.69565000000011</v>
      </c>
      <c r="P20" s="69">
        <f t="shared" si="10"/>
        <v>676.39260650000017</v>
      </c>
      <c r="Q20" s="69">
        <f t="shared" si="10"/>
        <v>683.15653256500013</v>
      </c>
      <c r="R20" s="69">
        <f t="shared" si="10"/>
        <v>689.98809789065012</v>
      </c>
      <c r="S20" s="69">
        <f t="shared" si="10"/>
        <v>696.8879788695566</v>
      </c>
      <c r="T20" s="69">
        <f t="shared" si="10"/>
        <v>703.85685865825212</v>
      </c>
      <c r="U20" s="69">
        <f t="shared" si="10"/>
        <v>710.89542724483465</v>
      </c>
      <c r="V20" s="69">
        <f t="shared" si="10"/>
        <v>718.00438151728304</v>
      </c>
      <c r="W20" s="69">
        <f t="shared" si="10"/>
        <v>725.18442533245582</v>
      </c>
      <c r="X20" s="69">
        <f t="shared" si="10"/>
        <v>732.43626958578034</v>
      </c>
      <c r="Y20" s="69">
        <f t="shared" si="10"/>
        <v>739.7606322816381</v>
      </c>
      <c r="Z20" s="69">
        <f t="shared" si="10"/>
        <v>747.15823860445448</v>
      </c>
      <c r="AA20" s="69">
        <f t="shared" si="10"/>
        <v>754.62982099049907</v>
      </c>
    </row>
    <row r="21" spans="1:27" x14ac:dyDescent="0.25">
      <c r="A21" s="51" t="s">
        <v>250</v>
      </c>
      <c r="B21" s="70"/>
      <c r="C21" s="71"/>
      <c r="D21" s="53">
        <v>200</v>
      </c>
      <c r="E21" s="53">
        <v>300</v>
      </c>
      <c r="F21" s="53">
        <v>320</v>
      </c>
      <c r="G21" s="53">
        <v>350</v>
      </c>
      <c r="H21" s="53">
        <v>400</v>
      </c>
      <c r="I21" s="68">
        <v>320</v>
      </c>
      <c r="J21" s="68">
        <v>320</v>
      </c>
      <c r="K21" s="68">
        <v>300</v>
      </c>
      <c r="L21" s="68">
        <v>300</v>
      </c>
      <c r="M21" s="68">
        <f>+L21*(1+M$29)</f>
        <v>303</v>
      </c>
      <c r="N21" s="68">
        <f t="shared" si="10"/>
        <v>306.03000000000003</v>
      </c>
      <c r="O21" s="68">
        <f t="shared" si="10"/>
        <v>309.09030000000001</v>
      </c>
      <c r="P21" s="68">
        <f t="shared" si="10"/>
        <v>312.18120300000004</v>
      </c>
      <c r="Q21" s="68">
        <f t="shared" si="10"/>
        <v>315.30301503000004</v>
      </c>
      <c r="R21" s="68">
        <f t="shared" si="10"/>
        <v>318.45604518030007</v>
      </c>
      <c r="S21" s="68">
        <f t="shared" si="10"/>
        <v>321.64060563210307</v>
      </c>
      <c r="T21" s="68">
        <f t="shared" si="10"/>
        <v>324.85701168842411</v>
      </c>
      <c r="U21" s="68">
        <f t="shared" si="10"/>
        <v>328.10558180530836</v>
      </c>
      <c r="V21" s="68">
        <f t="shared" si="10"/>
        <v>331.38663762336142</v>
      </c>
      <c r="W21" s="68">
        <f t="shared" si="10"/>
        <v>334.70050399959501</v>
      </c>
      <c r="X21" s="68">
        <f t="shared" si="10"/>
        <v>338.04750903959098</v>
      </c>
      <c r="Y21" s="68">
        <f t="shared" si="10"/>
        <v>341.4279841299869</v>
      </c>
      <c r="Z21" s="68">
        <f t="shared" si="10"/>
        <v>344.84226397128674</v>
      </c>
      <c r="AA21" s="68">
        <f t="shared" si="10"/>
        <v>348.29068661099961</v>
      </c>
    </row>
    <row r="22" spans="1:27" x14ac:dyDescent="0.25">
      <c r="A22" s="72" t="s">
        <v>251</v>
      </c>
      <c r="B22" s="73"/>
      <c r="C22" s="74"/>
      <c r="D22" s="75">
        <f t="shared" ref="D22:W22" si="11">+D20-D21</f>
        <v>290</v>
      </c>
      <c r="E22" s="75">
        <f t="shared" si="11"/>
        <v>210</v>
      </c>
      <c r="F22" s="75">
        <f t="shared" si="11"/>
        <v>210</v>
      </c>
      <c r="G22" s="75">
        <f t="shared" si="11"/>
        <v>200</v>
      </c>
      <c r="H22" s="75">
        <f t="shared" si="11"/>
        <v>170</v>
      </c>
      <c r="I22" s="75">
        <f t="shared" si="11"/>
        <v>270</v>
      </c>
      <c r="J22" s="75">
        <f t="shared" si="11"/>
        <v>290</v>
      </c>
      <c r="K22" s="75">
        <f t="shared" si="11"/>
        <v>330</v>
      </c>
      <c r="L22" s="75">
        <f t="shared" si="11"/>
        <v>350</v>
      </c>
      <c r="M22" s="75">
        <f t="shared" si="11"/>
        <v>353.5</v>
      </c>
      <c r="N22" s="75">
        <f t="shared" si="11"/>
        <v>357.03500000000003</v>
      </c>
      <c r="O22" s="75">
        <f t="shared" si="11"/>
        <v>360.6053500000001</v>
      </c>
      <c r="P22" s="75">
        <f t="shared" si="11"/>
        <v>364.21140350000013</v>
      </c>
      <c r="Q22" s="75">
        <f t="shared" si="11"/>
        <v>367.85351753500009</v>
      </c>
      <c r="R22" s="75">
        <f t="shared" si="11"/>
        <v>371.53205271035006</v>
      </c>
      <c r="S22" s="75">
        <f t="shared" si="11"/>
        <v>375.24737323745353</v>
      </c>
      <c r="T22" s="75">
        <f t="shared" si="11"/>
        <v>378.99984696982801</v>
      </c>
      <c r="U22" s="75">
        <f t="shared" si="11"/>
        <v>382.78984543952629</v>
      </c>
      <c r="V22" s="75">
        <f t="shared" si="11"/>
        <v>386.61774389392161</v>
      </c>
      <c r="W22" s="75">
        <f t="shared" si="11"/>
        <v>390.4839213328608</v>
      </c>
      <c r="X22" s="75">
        <f>+X20-X21</f>
        <v>394.38876054618936</v>
      </c>
      <c r="Y22" s="75">
        <f>+Y20-Y21</f>
        <v>398.3326481516512</v>
      </c>
      <c r="Z22" s="75">
        <f>+Z20-Z21</f>
        <v>402.31597463316774</v>
      </c>
      <c r="AA22" s="75">
        <f>+AA20-AA21</f>
        <v>406.33913437949946</v>
      </c>
    </row>
    <row r="23" spans="1:27" x14ac:dyDescent="0.25">
      <c r="A23" s="64" t="s">
        <v>252</v>
      </c>
      <c r="B23" s="65"/>
      <c r="C23" s="76"/>
      <c r="D23" s="53">
        <f>+(C14+D14)/2*D31</f>
        <v>50.750000000000007</v>
      </c>
      <c r="E23" s="53">
        <f t="shared" ref="E23:AA23" si="12">+(D14+E14)/2*E31</f>
        <v>50.750000000000007</v>
      </c>
      <c r="F23" s="53">
        <f t="shared" si="12"/>
        <v>46.550000000000004</v>
      </c>
      <c r="G23" s="53">
        <f t="shared" si="12"/>
        <v>47.6</v>
      </c>
      <c r="H23" s="53">
        <f t="shared" si="12"/>
        <v>59.850000000000009</v>
      </c>
      <c r="I23" s="53">
        <f t="shared" si="12"/>
        <v>69.650000000000006</v>
      </c>
      <c r="J23" s="53">
        <f t="shared" si="12"/>
        <v>64.75</v>
      </c>
      <c r="K23" s="53">
        <f t="shared" si="12"/>
        <v>57.050000000000004</v>
      </c>
      <c r="L23" s="53">
        <f t="shared" si="12"/>
        <v>57.050000000000004</v>
      </c>
      <c r="M23" s="53">
        <f t="shared" si="12"/>
        <v>56.945000000000007</v>
      </c>
      <c r="N23" s="53">
        <f t="shared" si="12"/>
        <v>55.439999999999991</v>
      </c>
      <c r="O23" s="53">
        <f t="shared" si="12"/>
        <v>56.143499999999968</v>
      </c>
      <c r="P23" s="53">
        <f t="shared" si="12"/>
        <v>56.854034999999982</v>
      </c>
      <c r="Q23" s="53">
        <f t="shared" si="12"/>
        <v>57.571675350000007</v>
      </c>
      <c r="R23" s="53">
        <f t="shared" si="12"/>
        <v>58.296492103500007</v>
      </c>
      <c r="S23" s="53">
        <f t="shared" si="12"/>
        <v>59.028557024534997</v>
      </c>
      <c r="T23" s="53">
        <f t="shared" si="12"/>
        <v>59.767942594780344</v>
      </c>
      <c r="U23" s="53">
        <f t="shared" si="12"/>
        <v>60.514722020728144</v>
      </c>
      <c r="V23" s="53">
        <f t="shared" si="12"/>
        <v>61.268969240935434</v>
      </c>
      <c r="W23" s="53">
        <f t="shared" si="12"/>
        <v>62.030758933344792</v>
      </c>
      <c r="X23" s="53">
        <f t="shared" si="12"/>
        <v>62.800166522678239</v>
      </c>
      <c r="Y23" s="53">
        <f t="shared" si="12"/>
        <v>63.57726818790502</v>
      </c>
      <c r="Z23" s="53">
        <f t="shared" si="12"/>
        <v>64.362140869784071</v>
      </c>
      <c r="AA23" s="53">
        <f t="shared" si="12"/>
        <v>65.154862278481886</v>
      </c>
    </row>
    <row r="24" spans="1:27" x14ac:dyDescent="0.25">
      <c r="A24" s="77" t="s">
        <v>253</v>
      </c>
      <c r="B24" s="78"/>
      <c r="C24" s="79"/>
      <c r="D24" s="80">
        <f t="shared" ref="D24:W24" si="13">+D22-D23</f>
        <v>239.25</v>
      </c>
      <c r="E24" s="80">
        <f t="shared" si="13"/>
        <v>159.25</v>
      </c>
      <c r="F24" s="80">
        <f t="shared" si="13"/>
        <v>163.44999999999999</v>
      </c>
      <c r="G24" s="80">
        <f t="shared" si="13"/>
        <v>152.4</v>
      </c>
      <c r="H24" s="80">
        <f t="shared" si="13"/>
        <v>110.14999999999999</v>
      </c>
      <c r="I24" s="80">
        <f t="shared" si="13"/>
        <v>200.35</v>
      </c>
      <c r="J24" s="80">
        <f t="shared" si="13"/>
        <v>225.25</v>
      </c>
      <c r="K24" s="80">
        <f t="shared" si="13"/>
        <v>272.95</v>
      </c>
      <c r="L24" s="80">
        <f t="shared" si="13"/>
        <v>292.95</v>
      </c>
      <c r="M24" s="80">
        <f t="shared" si="13"/>
        <v>296.55500000000001</v>
      </c>
      <c r="N24" s="80">
        <f t="shared" si="13"/>
        <v>301.59500000000003</v>
      </c>
      <c r="O24" s="80">
        <f t="shared" si="13"/>
        <v>304.46185000000014</v>
      </c>
      <c r="P24" s="80">
        <f t="shared" si="13"/>
        <v>307.35736850000012</v>
      </c>
      <c r="Q24" s="80">
        <f t="shared" si="13"/>
        <v>310.28184218500007</v>
      </c>
      <c r="R24" s="80">
        <f t="shared" si="13"/>
        <v>313.23556060685007</v>
      </c>
      <c r="S24" s="80">
        <f t="shared" si="13"/>
        <v>316.21881621291851</v>
      </c>
      <c r="T24" s="80">
        <f t="shared" si="13"/>
        <v>319.23190437504769</v>
      </c>
      <c r="U24" s="80">
        <f t="shared" si="13"/>
        <v>322.27512341879816</v>
      </c>
      <c r="V24" s="80">
        <f t="shared" si="13"/>
        <v>325.34877465298621</v>
      </c>
      <c r="W24" s="80">
        <f t="shared" si="13"/>
        <v>328.45316239951603</v>
      </c>
      <c r="X24" s="80">
        <f>+X22-X23</f>
        <v>331.58859402351112</v>
      </c>
      <c r="Y24" s="80">
        <f>+Y22-Y23</f>
        <v>334.75537996374618</v>
      </c>
      <c r="Z24" s="80">
        <f>+Z22-Z23</f>
        <v>337.95383376338367</v>
      </c>
      <c r="AA24" s="80">
        <f>+AA22-AA23</f>
        <v>341.18427210101754</v>
      </c>
    </row>
    <row r="25" spans="1:27" x14ac:dyDescent="0.25">
      <c r="A25" s="64" t="s">
        <v>254</v>
      </c>
      <c r="B25" s="65"/>
      <c r="C25" s="76"/>
      <c r="D25" s="53">
        <f t="shared" ref="D25:M25" si="14">D24*D30</f>
        <v>83.737499999999997</v>
      </c>
      <c r="E25" s="53">
        <f t="shared" si="14"/>
        <v>55.737499999999997</v>
      </c>
      <c r="F25" s="53">
        <f t="shared" si="14"/>
        <v>57.207499999999989</v>
      </c>
      <c r="G25" s="53">
        <f t="shared" si="14"/>
        <v>53.339999999999996</v>
      </c>
      <c r="H25" s="53">
        <f t="shared" si="14"/>
        <v>38.552499999999995</v>
      </c>
      <c r="I25" s="53">
        <f t="shared" si="14"/>
        <v>70.122499999999988</v>
      </c>
      <c r="J25" s="53">
        <f t="shared" si="14"/>
        <v>78.837499999999991</v>
      </c>
      <c r="K25" s="53">
        <f t="shared" si="14"/>
        <v>95.532499999999985</v>
      </c>
      <c r="L25" s="53">
        <f t="shared" si="14"/>
        <v>102.53249999999998</v>
      </c>
      <c r="M25" s="53">
        <f t="shared" si="14"/>
        <v>103.79424999999999</v>
      </c>
      <c r="N25" s="69">
        <f t="shared" ref="N25:AA25" si="15">+M25*(1+N$29)</f>
        <v>104.83219249999999</v>
      </c>
      <c r="O25" s="69">
        <f t="shared" si="15"/>
        <v>105.88051442499999</v>
      </c>
      <c r="P25" s="69">
        <f t="shared" si="15"/>
        <v>106.93931956924999</v>
      </c>
      <c r="Q25" s="69">
        <f t="shared" si="15"/>
        <v>108.00871276494249</v>
      </c>
      <c r="R25" s="69">
        <f t="shared" si="15"/>
        <v>109.08879989259191</v>
      </c>
      <c r="S25" s="69">
        <f t="shared" si="15"/>
        <v>110.17968789151783</v>
      </c>
      <c r="T25" s="69">
        <f t="shared" si="15"/>
        <v>111.28148477043301</v>
      </c>
      <c r="U25" s="69">
        <f t="shared" si="15"/>
        <v>112.39429961813734</v>
      </c>
      <c r="V25" s="69">
        <f t="shared" si="15"/>
        <v>113.51824261431871</v>
      </c>
      <c r="W25" s="69">
        <f t="shared" si="15"/>
        <v>114.6534250404619</v>
      </c>
      <c r="X25" s="69">
        <f t="shared" si="15"/>
        <v>115.79995929086651</v>
      </c>
      <c r="Y25" s="69">
        <f t="shared" si="15"/>
        <v>116.95795888377518</v>
      </c>
      <c r="Z25" s="69">
        <f t="shared" si="15"/>
        <v>118.12753847261293</v>
      </c>
      <c r="AA25" s="69">
        <f t="shared" si="15"/>
        <v>119.30881385733906</v>
      </c>
    </row>
    <row r="26" spans="1:27" x14ac:dyDescent="0.25">
      <c r="A26" s="81" t="s">
        <v>255</v>
      </c>
      <c r="B26" s="82"/>
      <c r="C26" s="83"/>
      <c r="D26" s="84">
        <f t="shared" ref="D26:W26" si="16">D24-D25</f>
        <v>155.51249999999999</v>
      </c>
      <c r="E26" s="84">
        <f t="shared" si="16"/>
        <v>103.5125</v>
      </c>
      <c r="F26" s="84">
        <f t="shared" si="16"/>
        <v>106.24250000000001</v>
      </c>
      <c r="G26" s="84">
        <f t="shared" si="16"/>
        <v>99.06</v>
      </c>
      <c r="H26" s="85">
        <f t="shared" si="16"/>
        <v>71.597499999999997</v>
      </c>
      <c r="I26" s="85">
        <f t="shared" si="16"/>
        <v>130.22750000000002</v>
      </c>
      <c r="J26" s="85">
        <f t="shared" si="16"/>
        <v>146.41250000000002</v>
      </c>
      <c r="K26" s="85">
        <f t="shared" si="16"/>
        <v>177.41750000000002</v>
      </c>
      <c r="L26" s="85">
        <f t="shared" si="16"/>
        <v>190.41750000000002</v>
      </c>
      <c r="M26" s="85">
        <f t="shared" si="16"/>
        <v>192.76075000000003</v>
      </c>
      <c r="N26" s="84">
        <f t="shared" si="16"/>
        <v>196.76280750000004</v>
      </c>
      <c r="O26" s="84">
        <f t="shared" si="16"/>
        <v>198.58133557500014</v>
      </c>
      <c r="P26" s="84">
        <f t="shared" si="16"/>
        <v>200.41804893075013</v>
      </c>
      <c r="Q26" s="84">
        <f t="shared" si="16"/>
        <v>202.27312942005759</v>
      </c>
      <c r="R26" s="85">
        <f t="shared" si="16"/>
        <v>204.14676071425816</v>
      </c>
      <c r="S26" s="85">
        <f t="shared" si="16"/>
        <v>206.03912832140068</v>
      </c>
      <c r="T26" s="85">
        <f t="shared" si="16"/>
        <v>207.95041960461469</v>
      </c>
      <c r="U26" s="85">
        <f t="shared" si="16"/>
        <v>209.88082380066083</v>
      </c>
      <c r="V26" s="85">
        <f t="shared" si="16"/>
        <v>211.83053203866751</v>
      </c>
      <c r="W26" s="85">
        <f t="shared" si="16"/>
        <v>213.79973735905412</v>
      </c>
      <c r="X26" s="85">
        <f>X24-X25</f>
        <v>215.7886347326446</v>
      </c>
      <c r="Y26" s="85">
        <f>Y24-Y25</f>
        <v>217.797421079971</v>
      </c>
      <c r="Z26" s="85">
        <f>Z24-Z25</f>
        <v>219.82629529077076</v>
      </c>
      <c r="AA26" s="85">
        <f>AA24-AA25</f>
        <v>221.87545824367848</v>
      </c>
    </row>
    <row r="28" spans="1:27" x14ac:dyDescent="0.25">
      <c r="A28" s="45"/>
      <c r="B28" s="45"/>
      <c r="C28" s="16">
        <v>0</v>
      </c>
      <c r="D28" s="16">
        <v>1</v>
      </c>
      <c r="E28" s="16">
        <v>2</v>
      </c>
      <c r="F28" s="16">
        <v>3</v>
      </c>
      <c r="G28" s="16">
        <v>4</v>
      </c>
      <c r="H28" s="16">
        <v>5</v>
      </c>
      <c r="I28" s="16">
        <v>6</v>
      </c>
      <c r="J28" s="16">
        <v>7</v>
      </c>
      <c r="K28" s="16">
        <v>8</v>
      </c>
      <c r="L28" s="16">
        <v>9</v>
      </c>
      <c r="M28" s="16">
        <v>10</v>
      </c>
      <c r="N28" s="16">
        <v>11</v>
      </c>
      <c r="O28" s="16">
        <v>12</v>
      </c>
      <c r="P28" s="16">
        <v>13</v>
      </c>
      <c r="Q28" s="16">
        <v>14</v>
      </c>
      <c r="R28" s="16">
        <v>15</v>
      </c>
      <c r="S28" s="16">
        <v>16</v>
      </c>
      <c r="T28" s="16">
        <v>17</v>
      </c>
      <c r="U28" s="16">
        <v>18</v>
      </c>
      <c r="V28" s="16">
        <v>19</v>
      </c>
      <c r="W28" s="16">
        <v>20</v>
      </c>
      <c r="X28" s="16">
        <v>21</v>
      </c>
      <c r="Y28" s="16">
        <v>22</v>
      </c>
      <c r="Z28" s="16">
        <v>23</v>
      </c>
      <c r="AA28" s="16">
        <v>24</v>
      </c>
    </row>
    <row r="29" spans="1:27" x14ac:dyDescent="0.25">
      <c r="A29" s="86" t="s">
        <v>256</v>
      </c>
      <c r="B29" s="86" t="s">
        <v>257</v>
      </c>
      <c r="C29" s="87">
        <v>0.01</v>
      </c>
      <c r="D29" s="87">
        <v>0.01</v>
      </c>
      <c r="E29" s="87">
        <v>0.01</v>
      </c>
      <c r="F29" s="87">
        <v>0.01</v>
      </c>
      <c r="G29" s="87">
        <v>0.01</v>
      </c>
      <c r="H29" s="87">
        <v>0.01</v>
      </c>
      <c r="I29" s="87">
        <v>0.01</v>
      </c>
      <c r="J29" s="87">
        <v>0.01</v>
      </c>
      <c r="K29" s="87">
        <v>0.01</v>
      </c>
      <c r="L29" s="87">
        <v>0.01</v>
      </c>
      <c r="M29" s="87">
        <v>0.01</v>
      </c>
      <c r="N29" s="87">
        <v>0.01</v>
      </c>
      <c r="O29" s="87">
        <v>0.01</v>
      </c>
      <c r="P29" s="87">
        <v>0.01</v>
      </c>
      <c r="Q29" s="87">
        <v>0.01</v>
      </c>
      <c r="R29" s="87">
        <v>0.01</v>
      </c>
      <c r="S29" s="87">
        <v>0.01</v>
      </c>
      <c r="T29" s="87">
        <v>0.01</v>
      </c>
      <c r="U29" s="87">
        <v>0.01</v>
      </c>
      <c r="V29" s="87">
        <v>0.01</v>
      </c>
      <c r="W29" s="87">
        <v>0.01</v>
      </c>
      <c r="X29" s="87">
        <v>0.01</v>
      </c>
      <c r="Y29" s="87">
        <v>0.01</v>
      </c>
      <c r="Z29" s="87">
        <v>0.01</v>
      </c>
      <c r="AA29" s="87">
        <v>0.01</v>
      </c>
    </row>
    <row r="30" spans="1:27" x14ac:dyDescent="0.25">
      <c r="A30" s="86" t="s">
        <v>258</v>
      </c>
      <c r="B30" s="86" t="s">
        <v>259</v>
      </c>
      <c r="C30" s="88">
        <v>0.35</v>
      </c>
      <c r="D30" s="88">
        <v>0.35</v>
      </c>
      <c r="E30" s="88">
        <v>0.35</v>
      </c>
      <c r="F30" s="88">
        <v>0.35</v>
      </c>
      <c r="G30" s="88">
        <v>0.35</v>
      </c>
      <c r="H30" s="88">
        <v>0.35</v>
      </c>
      <c r="I30" s="88">
        <v>0.35</v>
      </c>
      <c r="J30" s="88">
        <v>0.35</v>
      </c>
      <c r="K30" s="88">
        <v>0.35</v>
      </c>
      <c r="L30" s="88">
        <v>0.35</v>
      </c>
      <c r="M30" s="88">
        <v>0.35</v>
      </c>
      <c r="N30" s="88">
        <v>0.35</v>
      </c>
      <c r="O30" s="88">
        <v>0.35</v>
      </c>
      <c r="P30" s="88">
        <v>0.35</v>
      </c>
      <c r="Q30" s="88">
        <v>0.35</v>
      </c>
      <c r="R30" s="88">
        <v>0.35</v>
      </c>
      <c r="S30" s="88">
        <v>0.35</v>
      </c>
      <c r="T30" s="88">
        <v>0.35</v>
      </c>
      <c r="U30" s="88">
        <v>0.35</v>
      </c>
      <c r="V30" s="88">
        <v>0.35</v>
      </c>
      <c r="W30" s="88">
        <v>0.35</v>
      </c>
      <c r="X30" s="88">
        <v>0.35</v>
      </c>
      <c r="Y30" s="88">
        <v>0.35</v>
      </c>
      <c r="Z30" s="88">
        <v>0.35</v>
      </c>
      <c r="AA30" s="88">
        <v>0.35</v>
      </c>
    </row>
    <row r="31" spans="1:27" x14ac:dyDescent="0.25">
      <c r="A31" s="86" t="s">
        <v>260</v>
      </c>
      <c r="B31" s="86" t="s">
        <v>261</v>
      </c>
      <c r="C31" s="87">
        <v>7.0000000000000007E-2</v>
      </c>
      <c r="D31" s="87">
        <v>7.0000000000000007E-2</v>
      </c>
      <c r="E31" s="87">
        <v>7.0000000000000007E-2</v>
      </c>
      <c r="F31" s="87">
        <v>7.0000000000000007E-2</v>
      </c>
      <c r="G31" s="87">
        <v>7.0000000000000007E-2</v>
      </c>
      <c r="H31" s="87">
        <v>7.0000000000000007E-2</v>
      </c>
      <c r="I31" s="87">
        <v>7.0000000000000007E-2</v>
      </c>
      <c r="J31" s="87">
        <v>7.0000000000000007E-2</v>
      </c>
      <c r="K31" s="87">
        <v>7.0000000000000007E-2</v>
      </c>
      <c r="L31" s="87">
        <v>7.0000000000000007E-2</v>
      </c>
      <c r="M31" s="87">
        <v>7.0000000000000007E-2</v>
      </c>
      <c r="N31" s="87">
        <v>7.0000000000000007E-2</v>
      </c>
      <c r="O31" s="87">
        <v>7.0000000000000007E-2</v>
      </c>
      <c r="P31" s="87">
        <v>7.0000000000000007E-2</v>
      </c>
      <c r="Q31" s="87">
        <v>7.0000000000000007E-2</v>
      </c>
      <c r="R31" s="87">
        <v>7.0000000000000007E-2</v>
      </c>
      <c r="S31" s="87">
        <v>7.0000000000000007E-2</v>
      </c>
      <c r="T31" s="87">
        <v>7.0000000000000007E-2</v>
      </c>
      <c r="U31" s="87">
        <v>7.0000000000000007E-2</v>
      </c>
      <c r="V31" s="87">
        <v>7.0000000000000007E-2</v>
      </c>
      <c r="W31" s="87">
        <v>7.0000000000000007E-2</v>
      </c>
      <c r="X31" s="87">
        <v>7.0000000000000007E-2</v>
      </c>
      <c r="Y31" s="87">
        <v>7.0000000000000007E-2</v>
      </c>
      <c r="Z31" s="87">
        <v>7.0000000000000007E-2</v>
      </c>
      <c r="AA31" s="87">
        <v>7.0000000000000007E-2</v>
      </c>
    </row>
    <row r="32" spans="1:27" x14ac:dyDescent="0.25">
      <c r="A32" s="86" t="s">
        <v>262</v>
      </c>
      <c r="B32" s="86" t="s">
        <v>263</v>
      </c>
      <c r="C32" s="87">
        <v>0.04</v>
      </c>
      <c r="D32" s="87">
        <v>0.04</v>
      </c>
      <c r="E32" s="87">
        <v>0.04</v>
      </c>
      <c r="F32" s="87">
        <v>0.04</v>
      </c>
      <c r="G32" s="87">
        <v>0.04</v>
      </c>
      <c r="H32" s="87">
        <v>0.04</v>
      </c>
      <c r="I32" s="87">
        <v>0.04</v>
      </c>
      <c r="J32" s="87">
        <v>0.04</v>
      </c>
      <c r="K32" s="87">
        <v>0.04</v>
      </c>
      <c r="L32" s="87">
        <v>0.04</v>
      </c>
      <c r="M32" s="87">
        <v>0.04</v>
      </c>
      <c r="N32" s="87">
        <v>0.04</v>
      </c>
      <c r="O32" s="87">
        <v>0.04</v>
      </c>
      <c r="P32" s="87">
        <v>0.04</v>
      </c>
      <c r="Q32" s="87">
        <v>0.04</v>
      </c>
      <c r="R32" s="87">
        <v>0.04</v>
      </c>
      <c r="S32" s="87">
        <v>0.04</v>
      </c>
      <c r="T32" s="87">
        <v>0.04</v>
      </c>
      <c r="U32" s="87">
        <v>0.04</v>
      </c>
      <c r="V32" s="87">
        <v>0.04</v>
      </c>
      <c r="W32" s="87">
        <v>0.04</v>
      </c>
      <c r="X32" s="87">
        <v>0.04</v>
      </c>
      <c r="Y32" s="87">
        <v>0.04</v>
      </c>
      <c r="Z32" s="87">
        <v>0.04</v>
      </c>
      <c r="AA32" s="87">
        <v>0.04</v>
      </c>
    </row>
    <row r="33" spans="1:27" x14ac:dyDescent="0.25">
      <c r="A33" s="86" t="s">
        <v>264</v>
      </c>
      <c r="B33" s="86" t="s">
        <v>265</v>
      </c>
      <c r="C33" s="87">
        <v>0.08</v>
      </c>
      <c r="D33" s="87">
        <v>0.08</v>
      </c>
      <c r="E33" s="87">
        <v>0.08</v>
      </c>
      <c r="F33" s="87">
        <v>0.08</v>
      </c>
      <c r="G33" s="87">
        <v>0.08</v>
      </c>
      <c r="H33" s="87">
        <v>0.08</v>
      </c>
      <c r="I33" s="87">
        <v>0.08</v>
      </c>
      <c r="J33" s="87">
        <v>0.08</v>
      </c>
      <c r="K33" s="87">
        <v>0.08</v>
      </c>
      <c r="L33" s="87">
        <v>0.08</v>
      </c>
      <c r="M33" s="87">
        <v>0.08</v>
      </c>
      <c r="N33" s="87">
        <v>0.08</v>
      </c>
      <c r="O33" s="87">
        <v>0.08</v>
      </c>
      <c r="P33" s="87">
        <v>0.08</v>
      </c>
      <c r="Q33" s="87">
        <v>0.08</v>
      </c>
      <c r="R33" s="87">
        <v>0.08</v>
      </c>
      <c r="S33" s="87">
        <v>0.08</v>
      </c>
      <c r="T33" s="87">
        <v>0.08</v>
      </c>
      <c r="U33" s="87">
        <v>0.08</v>
      </c>
      <c r="V33" s="87">
        <v>0.08</v>
      </c>
      <c r="W33" s="87">
        <v>0.08</v>
      </c>
      <c r="X33" s="87">
        <v>0.08</v>
      </c>
      <c r="Y33" s="87">
        <v>0.08</v>
      </c>
      <c r="Z33" s="87">
        <v>0.08</v>
      </c>
      <c r="AA33" s="87">
        <v>0.08</v>
      </c>
    </row>
    <row r="34" spans="1:27" x14ac:dyDescent="0.25">
      <c r="A34" s="89" t="s">
        <v>266</v>
      </c>
      <c r="B34" s="86" t="s">
        <v>267</v>
      </c>
      <c r="C34" s="90">
        <v>0.9</v>
      </c>
      <c r="D34" s="90">
        <v>0.9</v>
      </c>
      <c r="E34" s="90">
        <v>0.9</v>
      </c>
      <c r="F34" s="90">
        <v>0.9</v>
      </c>
      <c r="G34" s="90">
        <v>0.9</v>
      </c>
      <c r="H34" s="90">
        <v>0.9</v>
      </c>
      <c r="I34" s="90">
        <v>0.9</v>
      </c>
      <c r="J34" s="90">
        <v>0.9</v>
      </c>
      <c r="K34" s="90">
        <v>0.9</v>
      </c>
      <c r="L34" s="90">
        <v>0.9</v>
      </c>
      <c r="M34" s="90">
        <v>0.9</v>
      </c>
      <c r="N34" s="90">
        <v>0.9</v>
      </c>
      <c r="O34" s="90">
        <v>0.9</v>
      </c>
      <c r="P34" s="90">
        <v>0.9</v>
      </c>
      <c r="Q34" s="90">
        <v>0.9</v>
      </c>
      <c r="R34" s="90">
        <v>0.9</v>
      </c>
      <c r="S34" s="90">
        <v>0.9</v>
      </c>
      <c r="T34" s="90">
        <v>0.9</v>
      </c>
      <c r="U34" s="90">
        <v>0.9</v>
      </c>
      <c r="V34" s="90">
        <v>0.9</v>
      </c>
      <c r="W34" s="90">
        <v>0.9</v>
      </c>
      <c r="X34" s="90">
        <v>0.9</v>
      </c>
      <c r="Y34" s="90">
        <v>0.9</v>
      </c>
      <c r="Z34" s="90">
        <v>0.9</v>
      </c>
      <c r="AA34" s="90">
        <v>0.9</v>
      </c>
    </row>
    <row r="35" spans="1:27" x14ac:dyDescent="0.25">
      <c r="A35" s="86" t="s">
        <v>268</v>
      </c>
      <c r="B35" s="86" t="s">
        <v>269</v>
      </c>
      <c r="C35" s="87">
        <v>7.0000000000000007E-2</v>
      </c>
      <c r="D35" s="87">
        <v>7.0000000000000007E-2</v>
      </c>
      <c r="E35" s="87">
        <v>7.0000000000000007E-2</v>
      </c>
      <c r="F35" s="87">
        <v>7.0000000000000007E-2</v>
      </c>
      <c r="G35" s="87">
        <v>7.0000000000000007E-2</v>
      </c>
      <c r="H35" s="87">
        <v>7.0000000000000007E-2</v>
      </c>
      <c r="I35" s="87">
        <v>7.0000000000000007E-2</v>
      </c>
      <c r="J35" s="87">
        <v>7.0000000000000007E-2</v>
      </c>
      <c r="K35" s="87">
        <v>7.0000000000000007E-2</v>
      </c>
      <c r="L35" s="87">
        <v>7.0000000000000007E-2</v>
      </c>
      <c r="M35" s="87">
        <v>7.0000000000000007E-2</v>
      </c>
      <c r="N35" s="87">
        <v>7.0000000000000007E-2</v>
      </c>
      <c r="O35" s="87">
        <v>7.0000000000000007E-2</v>
      </c>
      <c r="P35" s="87">
        <v>7.0000000000000007E-2</v>
      </c>
      <c r="Q35" s="87">
        <v>7.0000000000000007E-2</v>
      </c>
      <c r="R35" s="87">
        <v>7.0000000000000007E-2</v>
      </c>
      <c r="S35" s="87">
        <v>7.0000000000000007E-2</v>
      </c>
      <c r="T35" s="87">
        <v>7.0000000000000007E-2</v>
      </c>
      <c r="U35" s="87">
        <v>7.0000000000000007E-2</v>
      </c>
      <c r="V35" s="87">
        <v>7.0000000000000007E-2</v>
      </c>
      <c r="W35" s="87">
        <v>7.0000000000000007E-2</v>
      </c>
      <c r="X35" s="87">
        <v>7.0000000000000007E-2</v>
      </c>
      <c r="Y35" s="87">
        <v>7.0000000000000007E-2</v>
      </c>
      <c r="Z35" s="87">
        <v>7.0000000000000007E-2</v>
      </c>
      <c r="AA35" s="87">
        <v>7.0000000000000007E-2</v>
      </c>
    </row>
    <row r="36" spans="1:27" x14ac:dyDescent="0.25">
      <c r="A36" s="91" t="s">
        <v>270</v>
      </c>
      <c r="B36" s="92" t="s">
        <v>271</v>
      </c>
      <c r="C36" s="93">
        <f t="shared" ref="C36:AA36" si="17">+(C31-C32)/C33</f>
        <v>0.37500000000000006</v>
      </c>
      <c r="D36" s="93">
        <f t="shared" si="17"/>
        <v>0.37500000000000006</v>
      </c>
      <c r="E36" s="93">
        <f t="shared" si="17"/>
        <v>0.37500000000000006</v>
      </c>
      <c r="F36" s="93">
        <f t="shared" si="17"/>
        <v>0.37500000000000006</v>
      </c>
      <c r="G36" s="93">
        <f t="shared" si="17"/>
        <v>0.37500000000000006</v>
      </c>
      <c r="H36" s="93">
        <f t="shared" si="17"/>
        <v>0.37500000000000006</v>
      </c>
      <c r="I36" s="93">
        <f t="shared" si="17"/>
        <v>0.37500000000000006</v>
      </c>
      <c r="J36" s="93">
        <f t="shared" si="17"/>
        <v>0.37500000000000006</v>
      </c>
      <c r="K36" s="93">
        <f t="shared" si="17"/>
        <v>0.37500000000000006</v>
      </c>
      <c r="L36" s="93">
        <f t="shared" si="17"/>
        <v>0.37500000000000006</v>
      </c>
      <c r="M36" s="93">
        <f t="shared" si="17"/>
        <v>0.37500000000000006</v>
      </c>
      <c r="N36" s="93">
        <f t="shared" si="17"/>
        <v>0.37500000000000006</v>
      </c>
      <c r="O36" s="93">
        <f t="shared" si="17"/>
        <v>0.37500000000000006</v>
      </c>
      <c r="P36" s="93">
        <f t="shared" si="17"/>
        <v>0.37500000000000006</v>
      </c>
      <c r="Q36" s="93">
        <f t="shared" ref="Q36:Z41" si="18">+P36</f>
        <v>0.37500000000000006</v>
      </c>
      <c r="R36" s="93">
        <f t="shared" si="17"/>
        <v>0.37500000000000006</v>
      </c>
      <c r="S36" s="93">
        <f t="shared" si="17"/>
        <v>0.37500000000000006</v>
      </c>
      <c r="T36" s="93">
        <f t="shared" si="17"/>
        <v>0.37500000000000006</v>
      </c>
      <c r="U36" s="93">
        <f t="shared" si="17"/>
        <v>0.37500000000000006</v>
      </c>
      <c r="V36" s="93">
        <f t="shared" si="17"/>
        <v>0.37500000000000006</v>
      </c>
      <c r="W36" s="93">
        <f t="shared" si="17"/>
        <v>0.37500000000000006</v>
      </c>
      <c r="X36" s="93">
        <f t="shared" si="17"/>
        <v>0.37500000000000006</v>
      </c>
      <c r="Y36" s="93">
        <f t="shared" si="17"/>
        <v>0.37500000000000006</v>
      </c>
      <c r="Z36" s="93">
        <f t="shared" si="17"/>
        <v>0.37500000000000006</v>
      </c>
      <c r="AA36" s="93">
        <f t="shared" si="17"/>
        <v>0.37500000000000006</v>
      </c>
    </row>
    <row r="37" spans="1:27" x14ac:dyDescent="0.25">
      <c r="A37" s="92" t="s">
        <v>272</v>
      </c>
      <c r="B37" s="92" t="s">
        <v>273</v>
      </c>
      <c r="C37" s="94">
        <f>+C32+(C33*C34)</f>
        <v>0.11200000000000002</v>
      </c>
      <c r="D37" s="94">
        <f t="shared" ref="D37:P37" si="19">+D32+(D33*D34)</f>
        <v>0.11200000000000002</v>
      </c>
      <c r="E37" s="94">
        <f t="shared" si="19"/>
        <v>0.11200000000000002</v>
      </c>
      <c r="F37" s="94">
        <f t="shared" si="19"/>
        <v>0.11200000000000002</v>
      </c>
      <c r="G37" s="94">
        <f t="shared" si="19"/>
        <v>0.11200000000000002</v>
      </c>
      <c r="H37" s="94">
        <f t="shared" si="19"/>
        <v>0.11200000000000002</v>
      </c>
      <c r="I37" s="94">
        <f t="shared" si="19"/>
        <v>0.11200000000000002</v>
      </c>
      <c r="J37" s="94">
        <f t="shared" si="19"/>
        <v>0.11200000000000002</v>
      </c>
      <c r="K37" s="94">
        <f t="shared" si="19"/>
        <v>0.11200000000000002</v>
      </c>
      <c r="L37" s="94">
        <f t="shared" si="19"/>
        <v>0.11200000000000002</v>
      </c>
      <c r="M37" s="94">
        <f t="shared" si="19"/>
        <v>0.11200000000000002</v>
      </c>
      <c r="N37" s="94">
        <f t="shared" si="19"/>
        <v>0.11200000000000002</v>
      </c>
      <c r="O37" s="94">
        <f t="shared" si="19"/>
        <v>0.11200000000000002</v>
      </c>
      <c r="P37" s="94">
        <f t="shared" si="19"/>
        <v>0.11200000000000002</v>
      </c>
      <c r="Q37" s="94">
        <f t="shared" si="18"/>
        <v>0.11200000000000002</v>
      </c>
      <c r="R37" s="94">
        <f t="shared" si="18"/>
        <v>0.11200000000000002</v>
      </c>
      <c r="S37" s="94">
        <f t="shared" si="18"/>
        <v>0.11200000000000002</v>
      </c>
      <c r="T37" s="94">
        <f t="shared" si="18"/>
        <v>0.11200000000000002</v>
      </c>
      <c r="U37" s="94">
        <f t="shared" si="18"/>
        <v>0.11200000000000002</v>
      </c>
      <c r="V37" s="94">
        <f t="shared" si="18"/>
        <v>0.11200000000000002</v>
      </c>
      <c r="W37" s="94">
        <f t="shared" si="18"/>
        <v>0.11200000000000002</v>
      </c>
      <c r="X37" s="94">
        <f t="shared" si="18"/>
        <v>0.11200000000000002</v>
      </c>
      <c r="Y37" s="94">
        <f t="shared" si="18"/>
        <v>0.11200000000000002</v>
      </c>
      <c r="Z37" s="94">
        <f t="shared" si="18"/>
        <v>0.11200000000000002</v>
      </c>
      <c r="AA37" s="94">
        <f>+AA32+(AA33*AA34)</f>
        <v>0.11200000000000002</v>
      </c>
    </row>
    <row r="38" spans="1:27" x14ac:dyDescent="0.25">
      <c r="A38" s="91" t="s">
        <v>274</v>
      </c>
      <c r="B38" s="92" t="s">
        <v>275</v>
      </c>
      <c r="C38" s="95">
        <f t="shared" ref="C38:P38" si="20">+((C34*(C14*(1-C30)+C76)/C76)-(C36*C14*(1-C30)/C76))</f>
        <v>1.0949288948804845</v>
      </c>
      <c r="D38" s="95">
        <f t="shared" si="20"/>
        <v>1.1088535466789922</v>
      </c>
      <c r="E38" s="95">
        <f t="shared" si="20"/>
        <v>1.0864648591209647</v>
      </c>
      <c r="F38" s="95">
        <f t="shared" si="20"/>
        <v>1.0605227969823754</v>
      </c>
      <c r="G38" s="95">
        <f t="shared" si="20"/>
        <v>1.0772482541810415</v>
      </c>
      <c r="H38" s="95">
        <f t="shared" si="20"/>
        <v>1.1220940631219209</v>
      </c>
      <c r="I38" s="95">
        <f t="shared" si="20"/>
        <v>1.1194526048636757</v>
      </c>
      <c r="J38" s="95">
        <f t="shared" si="20"/>
        <v>1.0756682590882007</v>
      </c>
      <c r="K38" s="95">
        <f t="shared" si="20"/>
        <v>1.0622591878548666</v>
      </c>
      <c r="L38" s="95">
        <f t="shared" si="20"/>
        <v>1.0708445487106397</v>
      </c>
      <c r="M38" s="95">
        <f t="shared" si="20"/>
        <v>1.0582188510253792</v>
      </c>
      <c r="N38" s="95">
        <f t="shared" si="20"/>
        <v>1.0587687036861397</v>
      </c>
      <c r="O38" s="95">
        <f t="shared" si="20"/>
        <v>1.0593139725894558</v>
      </c>
      <c r="P38" s="95">
        <f t="shared" si="20"/>
        <v>1.0598546881580464</v>
      </c>
      <c r="Q38" s="95">
        <f t="shared" si="18"/>
        <v>1.0598546881580464</v>
      </c>
      <c r="R38" s="95">
        <f t="shared" si="18"/>
        <v>1.0598546881580464</v>
      </c>
      <c r="S38" s="95">
        <f t="shared" si="18"/>
        <v>1.0598546881580464</v>
      </c>
      <c r="T38" s="95">
        <f t="shared" si="18"/>
        <v>1.0598546881580464</v>
      </c>
      <c r="U38" s="95">
        <f t="shared" si="18"/>
        <v>1.0598546881580464</v>
      </c>
      <c r="V38" s="95">
        <f t="shared" si="18"/>
        <v>1.0598546881580464</v>
      </c>
      <c r="W38" s="95">
        <f t="shared" si="18"/>
        <v>1.0598546881580464</v>
      </c>
      <c r="X38" s="95">
        <f t="shared" si="18"/>
        <v>1.0598546881580464</v>
      </c>
      <c r="Y38" s="95">
        <f t="shared" si="18"/>
        <v>1.0598546881580464</v>
      </c>
      <c r="Z38" s="95">
        <f t="shared" si="18"/>
        <v>1.0598546881580464</v>
      </c>
    </row>
    <row r="39" spans="1:27" x14ac:dyDescent="0.25">
      <c r="A39" s="92" t="s">
        <v>276</v>
      </c>
      <c r="B39" s="92" t="s">
        <v>277</v>
      </c>
      <c r="C39" s="94">
        <f>+C32+(C38*C33)</f>
        <v>0.12759431159043877</v>
      </c>
      <c r="D39" s="94">
        <f t="shared" ref="D39:P39" si="21">+D32+(D38*D33)</f>
        <v>0.12870828373431936</v>
      </c>
      <c r="E39" s="94">
        <f t="shared" si="21"/>
        <v>0.12691718872967717</v>
      </c>
      <c r="F39" s="94">
        <f t="shared" si="21"/>
        <v>0.12484182375859004</v>
      </c>
      <c r="G39" s="94">
        <f t="shared" si="21"/>
        <v>0.12617986033448333</v>
      </c>
      <c r="H39" s="94">
        <f t="shared" si="21"/>
        <v>0.12976752504975367</v>
      </c>
      <c r="I39" s="94">
        <f t="shared" si="21"/>
        <v>0.12955620838909407</v>
      </c>
      <c r="J39" s="94">
        <f t="shared" si="21"/>
        <v>0.12605346072705606</v>
      </c>
      <c r="K39" s="94">
        <f t="shared" si="21"/>
        <v>0.12498073502838933</v>
      </c>
      <c r="L39" s="94">
        <f t="shared" si="21"/>
        <v>0.12566756389685119</v>
      </c>
      <c r="M39" s="94">
        <f t="shared" si="21"/>
        <v>0.12465750808203033</v>
      </c>
      <c r="N39" s="94">
        <f t="shared" si="21"/>
        <v>0.12470149629489119</v>
      </c>
      <c r="O39" s="94">
        <f t="shared" si="21"/>
        <v>0.12474511780715647</v>
      </c>
      <c r="P39" s="94">
        <f t="shared" si="21"/>
        <v>0.1247883750526437</v>
      </c>
      <c r="Q39" s="94">
        <f t="shared" si="18"/>
        <v>0.1247883750526437</v>
      </c>
      <c r="R39" s="94">
        <f t="shared" si="18"/>
        <v>0.1247883750526437</v>
      </c>
      <c r="S39" s="94">
        <f t="shared" si="18"/>
        <v>0.1247883750526437</v>
      </c>
      <c r="T39" s="94">
        <f t="shared" si="18"/>
        <v>0.1247883750526437</v>
      </c>
      <c r="U39" s="94">
        <f t="shared" si="18"/>
        <v>0.1247883750526437</v>
      </c>
      <c r="V39" s="94">
        <f t="shared" si="18"/>
        <v>0.1247883750526437</v>
      </c>
      <c r="W39" s="94">
        <f t="shared" si="18"/>
        <v>0.1247883750526437</v>
      </c>
      <c r="X39" s="94">
        <f t="shared" si="18"/>
        <v>0.1247883750526437</v>
      </c>
      <c r="Y39" s="94">
        <f t="shared" si="18"/>
        <v>0.1247883750526437</v>
      </c>
      <c r="Z39" s="94">
        <f t="shared" si="18"/>
        <v>0.1247883750526437</v>
      </c>
    </row>
    <row r="40" spans="1:27" x14ac:dyDescent="0.25">
      <c r="A40" s="92" t="s">
        <v>278</v>
      </c>
      <c r="B40" s="92"/>
      <c r="C40" s="96"/>
      <c r="D40" s="96">
        <f>+(C76/(C76+C14)*D39)+(C14/(C76+C14)*D31*(1-D30))</f>
        <v>9.8457748049120372E-2</v>
      </c>
      <c r="E40" s="96">
        <f t="shared" ref="E40:P40" si="22">+(D76/(D76+D14)*E39)+(D14/(D76+D14)*E31*(1-E30))</f>
        <v>9.600615619865327E-2</v>
      </c>
      <c r="F40" s="96">
        <f t="shared" si="22"/>
        <v>9.680686940049292E-2</v>
      </c>
      <c r="G40" s="96">
        <f t="shared" si="22"/>
        <v>0.10036945985258243</v>
      </c>
      <c r="H40" s="96">
        <f t="shared" si="22"/>
        <v>0.1009607323965796</v>
      </c>
      <c r="I40" s="96">
        <f t="shared" si="22"/>
        <v>9.6417694869840864E-2</v>
      </c>
      <c r="J40" s="96">
        <f t="shared" si="22"/>
        <v>9.4525754891563743E-2</v>
      </c>
      <c r="K40" s="96">
        <f t="shared" si="22"/>
        <v>9.7970193017132223E-2</v>
      </c>
      <c r="L40" s="96">
        <f t="shared" si="22"/>
        <v>9.9833032722505169E-2</v>
      </c>
      <c r="M40" s="96">
        <f t="shared" si="22"/>
        <v>9.8249047419085744E-2</v>
      </c>
      <c r="N40" s="96">
        <f t="shared" si="22"/>
        <v>9.9612504824166309E-2</v>
      </c>
      <c r="O40" s="96">
        <f t="shared" si="22"/>
        <v>9.9582769809080124E-2</v>
      </c>
      <c r="P40" s="96">
        <f t="shared" si="22"/>
        <v>9.9553346761545619E-2</v>
      </c>
      <c r="Q40" s="96">
        <f t="shared" si="18"/>
        <v>9.9553346761545619E-2</v>
      </c>
      <c r="R40" s="96">
        <f t="shared" si="18"/>
        <v>9.9553346761545619E-2</v>
      </c>
      <c r="S40" s="96">
        <f t="shared" si="18"/>
        <v>9.9553346761545619E-2</v>
      </c>
      <c r="T40" s="96">
        <f t="shared" si="18"/>
        <v>9.9553346761545619E-2</v>
      </c>
      <c r="U40" s="96">
        <f t="shared" si="18"/>
        <v>9.9553346761545619E-2</v>
      </c>
      <c r="V40" s="96">
        <f t="shared" si="18"/>
        <v>9.9553346761545619E-2</v>
      </c>
      <c r="W40" s="96">
        <f t="shared" si="18"/>
        <v>9.9553346761545619E-2</v>
      </c>
      <c r="X40" s="96">
        <f t="shared" si="18"/>
        <v>9.9553346761545619E-2</v>
      </c>
      <c r="Y40" s="96">
        <f t="shared" si="18"/>
        <v>9.9553346761545619E-2</v>
      </c>
      <c r="Z40" s="96">
        <f t="shared" si="18"/>
        <v>9.9553346761545619E-2</v>
      </c>
    </row>
    <row r="41" spans="1:27" x14ac:dyDescent="0.25">
      <c r="A41" s="92" t="s">
        <v>279</v>
      </c>
      <c r="B41" s="92"/>
      <c r="C41" s="96"/>
      <c r="D41" s="96">
        <f>+(C76/(C76+C14)*D39)+(C14/(C76+C14)*D31)</f>
        <v>0.10736477137691547</v>
      </c>
      <c r="E41" s="96">
        <f t="shared" ref="E41:P41" si="23">+(D76/(D76+D14)*E39)+(D14/(D76+D14)*E31)</f>
        <v>0.10530788116393737</v>
      </c>
      <c r="F41" s="96">
        <f t="shared" si="23"/>
        <v>0.10546379646916289</v>
      </c>
      <c r="G41" s="96">
        <f t="shared" si="23"/>
        <v>0.10820728715155084</v>
      </c>
      <c r="H41" s="96">
        <f t="shared" si="23"/>
        <v>0.1093360397238811</v>
      </c>
      <c r="I41" s="96">
        <f t="shared" si="23"/>
        <v>0.10607663139316664</v>
      </c>
      <c r="J41" s="96">
        <f t="shared" si="23"/>
        <v>0.10411477547488576</v>
      </c>
      <c r="K41" s="96">
        <f t="shared" si="23"/>
        <v>0.10629621414715107</v>
      </c>
      <c r="L41" s="96">
        <f t="shared" si="23"/>
        <v>0.10772832082912479</v>
      </c>
      <c r="M41" s="96">
        <f t="shared" si="23"/>
        <v>0.10642271662519129</v>
      </c>
      <c r="N41" s="96">
        <f t="shared" si="23"/>
        <v>0.10737347298497123</v>
      </c>
      <c r="O41" s="96">
        <f t="shared" si="23"/>
        <v>0.10736214528370649</v>
      </c>
      <c r="P41" s="96">
        <f t="shared" si="23"/>
        <v>0.10735093616505414</v>
      </c>
      <c r="Q41" s="96">
        <f t="shared" si="18"/>
        <v>0.10735093616505414</v>
      </c>
      <c r="R41" s="96">
        <f t="shared" si="18"/>
        <v>0.10735093616505414</v>
      </c>
      <c r="S41" s="96">
        <f t="shared" si="18"/>
        <v>0.10735093616505414</v>
      </c>
      <c r="T41" s="96">
        <f t="shared" si="18"/>
        <v>0.10735093616505414</v>
      </c>
      <c r="U41" s="96">
        <f t="shared" si="18"/>
        <v>0.10735093616505414</v>
      </c>
      <c r="V41" s="96">
        <f t="shared" si="18"/>
        <v>0.10735093616505414</v>
      </c>
      <c r="W41" s="96">
        <f t="shared" si="18"/>
        <v>0.10735093616505414</v>
      </c>
      <c r="X41" s="96">
        <f t="shared" si="18"/>
        <v>0.10735093616505414</v>
      </c>
      <c r="Y41" s="96">
        <f t="shared" si="18"/>
        <v>0.10735093616505414</v>
      </c>
      <c r="Z41" s="96">
        <f t="shared" si="18"/>
        <v>0.10735093616505414</v>
      </c>
    </row>
    <row r="42" spans="1:27" x14ac:dyDescent="0.25">
      <c r="A42" s="92"/>
      <c r="B42" s="92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</row>
    <row r="43" spans="1:27" ht="16.5" thickBot="1" x14ac:dyDescent="0.3">
      <c r="A43" s="92"/>
      <c r="B43" s="92"/>
      <c r="C43" s="92"/>
      <c r="D43" s="97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1:27" x14ac:dyDescent="0.25">
      <c r="A44" s="99" t="s">
        <v>280</v>
      </c>
      <c r="B44" s="100"/>
      <c r="C44" s="101">
        <v>0</v>
      </c>
      <c r="D44" s="101">
        <v>1</v>
      </c>
      <c r="E44" s="101">
        <f t="shared" ref="E44:AA44" si="24">D44+1</f>
        <v>2</v>
      </c>
      <c r="F44" s="101">
        <f t="shared" si="24"/>
        <v>3</v>
      </c>
      <c r="G44" s="101">
        <f t="shared" si="24"/>
        <v>4</v>
      </c>
      <c r="H44" s="101">
        <f t="shared" si="24"/>
        <v>5</v>
      </c>
      <c r="I44" s="101">
        <f t="shared" si="24"/>
        <v>6</v>
      </c>
      <c r="J44" s="101">
        <f t="shared" si="24"/>
        <v>7</v>
      </c>
      <c r="K44" s="101">
        <f t="shared" si="24"/>
        <v>8</v>
      </c>
      <c r="L44" s="101">
        <f t="shared" si="24"/>
        <v>9</v>
      </c>
      <c r="M44" s="101">
        <f t="shared" si="24"/>
        <v>10</v>
      </c>
      <c r="N44" s="101">
        <f t="shared" si="24"/>
        <v>11</v>
      </c>
      <c r="O44" s="101">
        <f t="shared" si="24"/>
        <v>12</v>
      </c>
      <c r="P44" s="101">
        <f t="shared" si="24"/>
        <v>13</v>
      </c>
      <c r="Q44" s="101">
        <f t="shared" si="24"/>
        <v>14</v>
      </c>
      <c r="R44" s="101">
        <f t="shared" si="24"/>
        <v>15</v>
      </c>
      <c r="S44" s="101">
        <f t="shared" si="24"/>
        <v>16</v>
      </c>
      <c r="T44" s="101">
        <f t="shared" si="24"/>
        <v>17</v>
      </c>
      <c r="U44" s="101">
        <f t="shared" si="24"/>
        <v>18</v>
      </c>
      <c r="V44" s="101">
        <f t="shared" si="24"/>
        <v>19</v>
      </c>
      <c r="W44" s="101">
        <f t="shared" si="24"/>
        <v>20</v>
      </c>
      <c r="X44" s="101">
        <f t="shared" si="24"/>
        <v>21</v>
      </c>
      <c r="Y44" s="101">
        <f t="shared" si="24"/>
        <v>22</v>
      </c>
      <c r="Z44" s="101">
        <f t="shared" si="24"/>
        <v>23</v>
      </c>
      <c r="AA44" s="101">
        <f t="shared" si="24"/>
        <v>24</v>
      </c>
    </row>
    <row r="45" spans="1:27" x14ac:dyDescent="0.25">
      <c r="A45" s="1"/>
      <c r="B45" s="2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x14ac:dyDescent="0.25">
      <c r="A46" s="102" t="s">
        <v>281</v>
      </c>
      <c r="B46" s="45"/>
      <c r="C46" s="45"/>
      <c r="D46" s="103">
        <f>+D22</f>
        <v>290</v>
      </c>
      <c r="E46" s="103">
        <f t="shared" ref="E46:AA46" si="25">+E22</f>
        <v>210</v>
      </c>
      <c r="F46" s="103">
        <f t="shared" si="25"/>
        <v>210</v>
      </c>
      <c r="G46" s="103">
        <f t="shared" si="25"/>
        <v>200</v>
      </c>
      <c r="H46" s="103">
        <f t="shared" si="25"/>
        <v>170</v>
      </c>
      <c r="I46" s="103">
        <f t="shared" si="25"/>
        <v>270</v>
      </c>
      <c r="J46" s="103">
        <f t="shared" si="25"/>
        <v>290</v>
      </c>
      <c r="K46" s="103">
        <f t="shared" si="25"/>
        <v>330</v>
      </c>
      <c r="L46" s="103">
        <f t="shared" si="25"/>
        <v>350</v>
      </c>
      <c r="M46" s="103">
        <f t="shared" si="25"/>
        <v>353.5</v>
      </c>
      <c r="N46" s="103">
        <f t="shared" si="25"/>
        <v>357.03500000000003</v>
      </c>
      <c r="O46" s="103">
        <f t="shared" si="25"/>
        <v>360.6053500000001</v>
      </c>
      <c r="P46" s="103">
        <f t="shared" si="25"/>
        <v>364.21140350000013</v>
      </c>
      <c r="Q46" s="103">
        <f t="shared" si="25"/>
        <v>367.85351753500009</v>
      </c>
      <c r="R46" s="103">
        <f t="shared" si="25"/>
        <v>371.53205271035006</v>
      </c>
      <c r="S46" s="103">
        <f t="shared" si="25"/>
        <v>375.24737323745353</v>
      </c>
      <c r="T46" s="103">
        <f t="shared" si="25"/>
        <v>378.99984696982801</v>
      </c>
      <c r="U46" s="103">
        <f t="shared" si="25"/>
        <v>382.78984543952629</v>
      </c>
      <c r="V46" s="103">
        <f t="shared" si="25"/>
        <v>386.61774389392161</v>
      </c>
      <c r="W46" s="103">
        <f t="shared" si="25"/>
        <v>390.4839213328608</v>
      </c>
      <c r="X46" s="103">
        <f t="shared" si="25"/>
        <v>394.38876054618936</v>
      </c>
      <c r="Y46" s="103">
        <f t="shared" si="25"/>
        <v>398.3326481516512</v>
      </c>
      <c r="Z46" s="103">
        <f t="shared" si="25"/>
        <v>402.31597463316774</v>
      </c>
      <c r="AA46" s="103">
        <f t="shared" si="25"/>
        <v>406.33913437949946</v>
      </c>
    </row>
    <row r="47" spans="1:27" x14ac:dyDescent="0.25">
      <c r="A47" s="102" t="s">
        <v>282</v>
      </c>
      <c r="B47" s="45"/>
      <c r="C47" s="45"/>
      <c r="D47" s="103">
        <f>+D21</f>
        <v>200</v>
      </c>
      <c r="E47" s="103">
        <f t="shared" ref="E47:AA47" si="26">+E21</f>
        <v>300</v>
      </c>
      <c r="F47" s="103">
        <f t="shared" si="26"/>
        <v>320</v>
      </c>
      <c r="G47" s="103">
        <f t="shared" si="26"/>
        <v>350</v>
      </c>
      <c r="H47" s="103">
        <f t="shared" si="26"/>
        <v>400</v>
      </c>
      <c r="I47" s="103">
        <f t="shared" si="26"/>
        <v>320</v>
      </c>
      <c r="J47" s="103">
        <f t="shared" si="26"/>
        <v>320</v>
      </c>
      <c r="K47" s="103">
        <f t="shared" si="26"/>
        <v>300</v>
      </c>
      <c r="L47" s="103">
        <f t="shared" si="26"/>
        <v>300</v>
      </c>
      <c r="M47" s="103">
        <f t="shared" si="26"/>
        <v>303</v>
      </c>
      <c r="N47" s="103">
        <f t="shared" si="26"/>
        <v>306.03000000000003</v>
      </c>
      <c r="O47" s="103">
        <f t="shared" si="26"/>
        <v>309.09030000000001</v>
      </c>
      <c r="P47" s="103">
        <f t="shared" si="26"/>
        <v>312.18120300000004</v>
      </c>
      <c r="Q47" s="103">
        <f t="shared" si="26"/>
        <v>315.30301503000004</v>
      </c>
      <c r="R47" s="103">
        <f t="shared" si="26"/>
        <v>318.45604518030007</v>
      </c>
      <c r="S47" s="103">
        <f t="shared" si="26"/>
        <v>321.64060563210307</v>
      </c>
      <c r="T47" s="103">
        <f t="shared" si="26"/>
        <v>324.85701168842411</v>
      </c>
      <c r="U47" s="103">
        <f t="shared" si="26"/>
        <v>328.10558180530836</v>
      </c>
      <c r="V47" s="103">
        <f t="shared" si="26"/>
        <v>331.38663762336142</v>
      </c>
      <c r="W47" s="103">
        <f t="shared" si="26"/>
        <v>334.70050399959501</v>
      </c>
      <c r="X47" s="103">
        <f t="shared" si="26"/>
        <v>338.04750903959098</v>
      </c>
      <c r="Y47" s="103">
        <f t="shared" si="26"/>
        <v>341.4279841299869</v>
      </c>
      <c r="Z47" s="103">
        <f t="shared" si="26"/>
        <v>344.84226397128674</v>
      </c>
      <c r="AA47" s="103">
        <f t="shared" si="26"/>
        <v>348.29068661099961</v>
      </c>
    </row>
    <row r="48" spans="1:27" x14ac:dyDescent="0.25">
      <c r="A48" s="102" t="s">
        <v>283</v>
      </c>
      <c r="B48" s="45"/>
      <c r="C48" s="45"/>
      <c r="D48" s="103">
        <f>+C8-D8</f>
        <v>-200</v>
      </c>
      <c r="E48" s="103">
        <f t="shared" ref="E48:AA48" si="27">+D8-E8</f>
        <v>-200</v>
      </c>
      <c r="F48" s="103">
        <f t="shared" si="27"/>
        <v>-200</v>
      </c>
      <c r="G48" s="103">
        <f t="shared" si="27"/>
        <v>-400</v>
      </c>
      <c r="H48" s="103">
        <f t="shared" si="27"/>
        <v>-600</v>
      </c>
      <c r="I48" s="103">
        <f t="shared" si="27"/>
        <v>-300</v>
      </c>
      <c r="J48" s="103">
        <f t="shared" si="27"/>
        <v>-100</v>
      </c>
      <c r="K48" s="103">
        <f t="shared" si="27"/>
        <v>-200</v>
      </c>
      <c r="L48" s="103">
        <f t="shared" si="27"/>
        <v>-300</v>
      </c>
      <c r="M48" s="103">
        <f t="shared" si="27"/>
        <v>-200</v>
      </c>
      <c r="N48" s="103">
        <f t="shared" si="27"/>
        <v>-306.02999999999975</v>
      </c>
      <c r="O48" s="103">
        <f t="shared" si="27"/>
        <v>-309.09029999999984</v>
      </c>
      <c r="P48" s="103">
        <f t="shared" si="27"/>
        <v>-312.1812030000001</v>
      </c>
      <c r="Q48" s="103">
        <f t="shared" si="27"/>
        <v>-315.3030150300001</v>
      </c>
      <c r="R48" s="103">
        <f t="shared" si="27"/>
        <v>-318.45604518029995</v>
      </c>
      <c r="S48" s="103">
        <f t="shared" si="27"/>
        <v>-321.64060563210296</v>
      </c>
      <c r="T48" s="103">
        <f t="shared" si="27"/>
        <v>-324.85701168842388</v>
      </c>
      <c r="U48" s="103">
        <f t="shared" si="27"/>
        <v>-328.10558180530825</v>
      </c>
      <c r="V48" s="103">
        <f t="shared" si="27"/>
        <v>-331.38663762336182</v>
      </c>
      <c r="W48" s="103">
        <f t="shared" si="27"/>
        <v>-334.70050399959473</v>
      </c>
      <c r="X48" s="103">
        <f t="shared" si="27"/>
        <v>-338.0475090395912</v>
      </c>
      <c r="Y48" s="103">
        <f t="shared" si="27"/>
        <v>-341.42798412998673</v>
      </c>
      <c r="Z48" s="103">
        <f t="shared" si="27"/>
        <v>-344.84226397128714</v>
      </c>
      <c r="AA48" s="103">
        <f t="shared" si="27"/>
        <v>-348.29068661099882</v>
      </c>
    </row>
    <row r="49" spans="1:27" x14ac:dyDescent="0.25">
      <c r="A49" s="102" t="s">
        <v>284</v>
      </c>
      <c r="B49" s="45"/>
      <c r="C49" s="45"/>
      <c r="D49" s="103">
        <f>+C7-D7</f>
        <v>-50</v>
      </c>
      <c r="E49" s="103">
        <f t="shared" ref="E49:AA49" si="28">+D7-E7</f>
        <v>-50</v>
      </c>
      <c r="F49" s="103">
        <f t="shared" si="28"/>
        <v>-50</v>
      </c>
      <c r="G49" s="103">
        <f t="shared" si="28"/>
        <v>-50</v>
      </c>
      <c r="H49" s="103">
        <f t="shared" si="28"/>
        <v>-50</v>
      </c>
      <c r="I49" s="103">
        <f t="shared" si="28"/>
        <v>-50</v>
      </c>
      <c r="J49" s="103">
        <f t="shared" si="28"/>
        <v>-50</v>
      </c>
      <c r="K49" s="103">
        <f t="shared" si="28"/>
        <v>-50</v>
      </c>
      <c r="L49" s="103">
        <f t="shared" si="28"/>
        <v>-50</v>
      </c>
      <c r="M49" s="103">
        <f t="shared" si="28"/>
        <v>-50</v>
      </c>
      <c r="N49" s="103">
        <f t="shared" si="28"/>
        <v>-10</v>
      </c>
      <c r="O49" s="103">
        <f t="shared" si="28"/>
        <v>-10.100000000000023</v>
      </c>
      <c r="P49" s="103">
        <f t="shared" si="28"/>
        <v>-10.200999999999908</v>
      </c>
      <c r="Q49" s="103">
        <f t="shared" si="28"/>
        <v>-10.303010000000086</v>
      </c>
      <c r="R49" s="103">
        <f t="shared" si="28"/>
        <v>-10.406040099999927</v>
      </c>
      <c r="S49" s="103">
        <f t="shared" si="28"/>
        <v>-10.510100500999897</v>
      </c>
      <c r="T49" s="103">
        <f t="shared" si="28"/>
        <v>-10.615201506009953</v>
      </c>
      <c r="U49" s="103">
        <f t="shared" si="28"/>
        <v>-10.721353521070114</v>
      </c>
      <c r="V49" s="103">
        <f t="shared" si="28"/>
        <v>-10.828567056280917</v>
      </c>
      <c r="W49" s="103">
        <f t="shared" si="28"/>
        <v>-10.936852726843654</v>
      </c>
      <c r="X49" s="103">
        <f t="shared" si="28"/>
        <v>-11.04622125411197</v>
      </c>
      <c r="Y49" s="103">
        <f t="shared" si="28"/>
        <v>-11.156683466653249</v>
      </c>
      <c r="Z49" s="103">
        <f t="shared" si="28"/>
        <v>-11.268250301319767</v>
      </c>
      <c r="AA49" s="103">
        <f t="shared" si="28"/>
        <v>-11.380932804332815</v>
      </c>
    </row>
    <row r="50" spans="1:27" x14ac:dyDescent="0.25">
      <c r="A50" s="104" t="s">
        <v>285</v>
      </c>
      <c r="B50" s="105"/>
      <c r="C50" s="105"/>
      <c r="D50" s="106">
        <f t="shared" ref="D50:P50" si="29">SUM(D46:D49)</f>
        <v>240</v>
      </c>
      <c r="E50" s="106">
        <f t="shared" si="29"/>
        <v>260</v>
      </c>
      <c r="F50" s="106">
        <f t="shared" si="29"/>
        <v>280</v>
      </c>
      <c r="G50" s="106">
        <f t="shared" si="29"/>
        <v>100</v>
      </c>
      <c r="H50" s="106">
        <f t="shared" si="29"/>
        <v>-80</v>
      </c>
      <c r="I50" s="106">
        <f t="shared" si="29"/>
        <v>240</v>
      </c>
      <c r="J50" s="106">
        <f t="shared" si="29"/>
        <v>460</v>
      </c>
      <c r="K50" s="106">
        <f t="shared" si="29"/>
        <v>380</v>
      </c>
      <c r="L50" s="106">
        <f t="shared" si="29"/>
        <v>300</v>
      </c>
      <c r="M50" s="106">
        <f t="shared" si="29"/>
        <v>406.5</v>
      </c>
      <c r="N50" s="106">
        <f t="shared" si="29"/>
        <v>347.03500000000031</v>
      </c>
      <c r="O50" s="106">
        <f t="shared" si="29"/>
        <v>350.50535000000025</v>
      </c>
      <c r="P50" s="106">
        <f t="shared" si="29"/>
        <v>354.01040350000017</v>
      </c>
      <c r="Q50" s="106">
        <f t="shared" ref="Q50:AA50" si="30">SUM(Q46:Q49)</f>
        <v>357.55050753499995</v>
      </c>
      <c r="R50" s="106">
        <f t="shared" si="30"/>
        <v>361.12601261035024</v>
      </c>
      <c r="S50" s="106">
        <f t="shared" si="30"/>
        <v>364.73727273645375</v>
      </c>
      <c r="T50" s="106">
        <f t="shared" si="30"/>
        <v>368.38464546381829</v>
      </c>
      <c r="U50" s="106">
        <f t="shared" si="30"/>
        <v>372.06849191845629</v>
      </c>
      <c r="V50" s="106">
        <f t="shared" si="30"/>
        <v>375.7891768376403</v>
      </c>
      <c r="W50" s="106">
        <f t="shared" si="30"/>
        <v>379.54706860601743</v>
      </c>
      <c r="X50" s="106">
        <f t="shared" si="30"/>
        <v>383.34253929207716</v>
      </c>
      <c r="Y50" s="106">
        <f t="shared" si="30"/>
        <v>387.17596468499812</v>
      </c>
      <c r="Z50" s="106">
        <f t="shared" si="30"/>
        <v>391.04772433184758</v>
      </c>
      <c r="AA50" s="106">
        <f t="shared" si="30"/>
        <v>394.95820157516744</v>
      </c>
    </row>
    <row r="51" spans="1:27" ht="16.5" thickBot="1" x14ac:dyDescent="0.3">
      <c r="A51" s="102" t="s">
        <v>286</v>
      </c>
      <c r="B51" s="45"/>
      <c r="C51" s="45"/>
      <c r="D51" s="103">
        <f>-D46*D30</f>
        <v>-101.5</v>
      </c>
      <c r="E51" s="103">
        <f t="shared" ref="E51:AA51" si="31">-E46*E30</f>
        <v>-73.5</v>
      </c>
      <c r="F51" s="103">
        <f t="shared" si="31"/>
        <v>-73.5</v>
      </c>
      <c r="G51" s="103">
        <f t="shared" si="31"/>
        <v>-70</v>
      </c>
      <c r="H51" s="103">
        <f t="shared" si="31"/>
        <v>-59.499999999999993</v>
      </c>
      <c r="I51" s="103">
        <f t="shared" si="31"/>
        <v>-94.5</v>
      </c>
      <c r="J51" s="103">
        <f t="shared" si="31"/>
        <v>-101.5</v>
      </c>
      <c r="K51" s="103">
        <f t="shared" si="31"/>
        <v>-115.49999999999999</v>
      </c>
      <c r="L51" s="103">
        <f t="shared" si="31"/>
        <v>-122.49999999999999</v>
      </c>
      <c r="M51" s="103">
        <f t="shared" si="31"/>
        <v>-123.72499999999999</v>
      </c>
      <c r="N51" s="103">
        <f t="shared" si="31"/>
        <v>-124.96225</v>
      </c>
      <c r="O51" s="103">
        <f t="shared" si="31"/>
        <v>-126.21187250000003</v>
      </c>
      <c r="P51" s="103">
        <f t="shared" si="31"/>
        <v>-127.47399122500003</v>
      </c>
      <c r="Q51" s="103">
        <f t="shared" si="31"/>
        <v>-128.74873113725002</v>
      </c>
      <c r="R51" s="103">
        <f t="shared" si="31"/>
        <v>-130.03621844862252</v>
      </c>
      <c r="S51" s="103">
        <f t="shared" si="31"/>
        <v>-131.33658063310872</v>
      </c>
      <c r="T51" s="103">
        <f t="shared" si="31"/>
        <v>-132.64994643943979</v>
      </c>
      <c r="U51" s="103">
        <f t="shared" si="31"/>
        <v>-133.97644590383419</v>
      </c>
      <c r="V51" s="103">
        <f t="shared" si="31"/>
        <v>-135.31621036287257</v>
      </c>
      <c r="W51" s="103">
        <f t="shared" si="31"/>
        <v>-136.66937246650127</v>
      </c>
      <c r="X51" s="103">
        <f t="shared" si="31"/>
        <v>-138.03606619116627</v>
      </c>
      <c r="Y51" s="103">
        <f t="shared" si="31"/>
        <v>-139.41642685307792</v>
      </c>
      <c r="Z51" s="103">
        <f t="shared" si="31"/>
        <v>-140.8105911216087</v>
      </c>
      <c r="AA51" s="103">
        <f t="shared" si="31"/>
        <v>-142.21869703282479</v>
      </c>
    </row>
    <row r="52" spans="1:27" ht="16.5" thickBot="1" x14ac:dyDescent="0.3">
      <c r="A52" s="107" t="s">
        <v>287</v>
      </c>
      <c r="B52" s="108"/>
      <c r="C52" s="108"/>
      <c r="D52" s="109">
        <f t="shared" ref="D52:AA52" si="32">+D50+D51</f>
        <v>138.5</v>
      </c>
      <c r="E52" s="109">
        <f t="shared" si="32"/>
        <v>186.5</v>
      </c>
      <c r="F52" s="109">
        <f t="shared" si="32"/>
        <v>206.5</v>
      </c>
      <c r="G52" s="109">
        <f t="shared" si="32"/>
        <v>30</v>
      </c>
      <c r="H52" s="109">
        <f t="shared" si="32"/>
        <v>-139.5</v>
      </c>
      <c r="I52" s="109">
        <f t="shared" si="32"/>
        <v>145.5</v>
      </c>
      <c r="J52" s="109">
        <f t="shared" si="32"/>
        <v>358.5</v>
      </c>
      <c r="K52" s="109">
        <f t="shared" si="32"/>
        <v>264.5</v>
      </c>
      <c r="L52" s="109">
        <f t="shared" si="32"/>
        <v>177.5</v>
      </c>
      <c r="M52" s="109">
        <f t="shared" si="32"/>
        <v>282.77499999999998</v>
      </c>
      <c r="N52" s="109">
        <f t="shared" si="32"/>
        <v>222.07275000000033</v>
      </c>
      <c r="O52" s="109">
        <f t="shared" si="32"/>
        <v>224.29347750000022</v>
      </c>
      <c r="P52" s="109">
        <f t="shared" si="32"/>
        <v>226.53641227500015</v>
      </c>
      <c r="Q52" s="109">
        <f t="shared" si="32"/>
        <v>228.80177639774993</v>
      </c>
      <c r="R52" s="109">
        <f t="shared" si="32"/>
        <v>231.08979416172772</v>
      </c>
      <c r="S52" s="109">
        <f t="shared" si="32"/>
        <v>233.40069210334502</v>
      </c>
      <c r="T52" s="109">
        <f t="shared" si="32"/>
        <v>235.7346990243785</v>
      </c>
      <c r="U52" s="109">
        <f t="shared" si="32"/>
        <v>238.0920460146221</v>
      </c>
      <c r="V52" s="109">
        <f t="shared" si="32"/>
        <v>240.47296647476773</v>
      </c>
      <c r="W52" s="109">
        <f t="shared" si="32"/>
        <v>242.87769613951616</v>
      </c>
      <c r="X52" s="109">
        <f t="shared" si="32"/>
        <v>245.30647310091089</v>
      </c>
      <c r="Y52" s="109">
        <f t="shared" si="32"/>
        <v>247.7595378319202</v>
      </c>
      <c r="Z52" s="109">
        <f t="shared" si="32"/>
        <v>250.23713321023888</v>
      </c>
      <c r="AA52" s="109">
        <f t="shared" si="32"/>
        <v>252.73950454234264</v>
      </c>
    </row>
    <row r="53" spans="1:27" ht="16.5" thickBot="1" x14ac:dyDescent="0.3">
      <c r="A53" s="110" t="s">
        <v>288</v>
      </c>
      <c r="B53" s="110"/>
      <c r="C53" s="111"/>
      <c r="D53" s="112">
        <f t="shared" ref="D53:AA53" si="33">+C14*D37*D30</f>
        <v>27.44</v>
      </c>
      <c r="E53" s="112">
        <f t="shared" si="33"/>
        <v>29.400000000000002</v>
      </c>
      <c r="F53" s="112">
        <f t="shared" si="33"/>
        <v>27.44</v>
      </c>
      <c r="G53" s="112">
        <f t="shared" si="33"/>
        <v>24.696000000000005</v>
      </c>
      <c r="H53" s="112">
        <f t="shared" si="33"/>
        <v>28.616</v>
      </c>
      <c r="I53" s="112">
        <f t="shared" si="33"/>
        <v>38.416000000000004</v>
      </c>
      <c r="J53" s="112">
        <f t="shared" si="33"/>
        <v>39.592000000000006</v>
      </c>
      <c r="K53" s="112">
        <f t="shared" si="33"/>
        <v>32.928000000000004</v>
      </c>
      <c r="L53" s="112">
        <f t="shared" si="33"/>
        <v>30.968000000000004</v>
      </c>
      <c r="M53" s="112">
        <f t="shared" si="33"/>
        <v>32.928000000000004</v>
      </c>
      <c r="N53" s="112">
        <f t="shared" si="33"/>
        <v>30.850400000000004</v>
      </c>
      <c r="O53" s="112">
        <f t="shared" si="33"/>
        <v>31.242399999999986</v>
      </c>
      <c r="P53" s="112">
        <f t="shared" si="33"/>
        <v>31.638319999999979</v>
      </c>
      <c r="Q53" s="112">
        <f t="shared" si="33"/>
        <v>32.038199200000001</v>
      </c>
      <c r="R53" s="112">
        <f t="shared" si="33"/>
        <v>32.442077192000006</v>
      </c>
      <c r="S53" s="112">
        <f t="shared" si="33"/>
        <v>32.849993963919999</v>
      </c>
      <c r="T53" s="112">
        <f t="shared" si="33"/>
        <v>33.261989903559197</v>
      </c>
      <c r="U53" s="112">
        <f t="shared" si="33"/>
        <v>33.678105802594786</v>
      </c>
      <c r="V53" s="112">
        <f t="shared" si="33"/>
        <v>34.098382860620738</v>
      </c>
      <c r="W53" s="112">
        <f t="shared" si="33"/>
        <v>34.522862689226947</v>
      </c>
      <c r="X53" s="112">
        <f t="shared" si="33"/>
        <v>34.951587316119216</v>
      </c>
      <c r="Y53" s="112">
        <f t="shared" si="33"/>
        <v>35.384599189280408</v>
      </c>
      <c r="Z53" s="112">
        <f t="shared" si="33"/>
        <v>35.821941181173216</v>
      </c>
      <c r="AA53" s="112">
        <f t="shared" si="33"/>
        <v>36.263656592984951</v>
      </c>
    </row>
    <row r="54" spans="1:27" ht="16.5" thickBot="1" x14ac:dyDescent="0.3">
      <c r="A54" s="113" t="s">
        <v>289</v>
      </c>
      <c r="B54" s="114"/>
      <c r="C54" s="115"/>
      <c r="D54" s="109">
        <f>+D52+D53</f>
        <v>165.94</v>
      </c>
      <c r="E54" s="109">
        <f t="shared" ref="E54:Z54" si="34">+E52+E53</f>
        <v>215.9</v>
      </c>
      <c r="F54" s="109">
        <f t="shared" si="34"/>
        <v>233.94</v>
      </c>
      <c r="G54" s="109">
        <f t="shared" si="34"/>
        <v>54.696000000000005</v>
      </c>
      <c r="H54" s="109">
        <f t="shared" si="34"/>
        <v>-110.884</v>
      </c>
      <c r="I54" s="109">
        <f t="shared" si="34"/>
        <v>183.916</v>
      </c>
      <c r="J54" s="109">
        <f t="shared" si="34"/>
        <v>398.09199999999998</v>
      </c>
      <c r="K54" s="109">
        <f t="shared" si="34"/>
        <v>297.428</v>
      </c>
      <c r="L54" s="109">
        <f t="shared" si="34"/>
        <v>208.46800000000002</v>
      </c>
      <c r="M54" s="109">
        <f t="shared" si="34"/>
        <v>315.70299999999997</v>
      </c>
      <c r="N54" s="109">
        <f t="shared" si="34"/>
        <v>252.92315000000033</v>
      </c>
      <c r="O54" s="109">
        <f t="shared" si="34"/>
        <v>255.5358775000002</v>
      </c>
      <c r="P54" s="109">
        <f t="shared" si="34"/>
        <v>258.17473227500011</v>
      </c>
      <c r="Q54" s="109">
        <f t="shared" si="34"/>
        <v>260.83997559774991</v>
      </c>
      <c r="R54" s="109">
        <f t="shared" si="34"/>
        <v>263.53187135372775</v>
      </c>
      <c r="S54" s="109">
        <f t="shared" si="34"/>
        <v>266.25068606726501</v>
      </c>
      <c r="T54" s="109">
        <f t="shared" si="34"/>
        <v>268.99668892793773</v>
      </c>
      <c r="U54" s="109">
        <f t="shared" si="34"/>
        <v>271.77015181721686</v>
      </c>
      <c r="V54" s="109">
        <f t="shared" si="34"/>
        <v>274.57134933538845</v>
      </c>
      <c r="W54" s="109">
        <f t="shared" si="34"/>
        <v>277.4005588287431</v>
      </c>
      <c r="X54" s="109">
        <f t="shared" si="34"/>
        <v>280.25806041703009</v>
      </c>
      <c r="Y54" s="109">
        <f t="shared" si="34"/>
        <v>283.14413702120061</v>
      </c>
      <c r="Z54" s="109">
        <f t="shared" si="34"/>
        <v>286.05907439141208</v>
      </c>
      <c r="AA54" s="109">
        <f>+AA52+AA53</f>
        <v>289.00316113532762</v>
      </c>
    </row>
    <row r="55" spans="1:27" x14ac:dyDescent="0.25">
      <c r="D55" s="116"/>
    </row>
    <row r="56" spans="1:27" x14ac:dyDescent="0.25">
      <c r="A56" s="102" t="s">
        <v>290</v>
      </c>
      <c r="B56" s="45"/>
      <c r="C56" s="45"/>
      <c r="D56" s="103">
        <f t="shared" ref="D56:AA56" si="35">+D26</f>
        <v>155.51249999999999</v>
      </c>
      <c r="E56" s="103">
        <f t="shared" si="35"/>
        <v>103.5125</v>
      </c>
      <c r="F56" s="103">
        <f t="shared" si="35"/>
        <v>106.24250000000001</v>
      </c>
      <c r="G56" s="103">
        <f t="shared" si="35"/>
        <v>99.06</v>
      </c>
      <c r="H56" s="103">
        <f t="shared" si="35"/>
        <v>71.597499999999997</v>
      </c>
      <c r="I56" s="103">
        <f t="shared" si="35"/>
        <v>130.22750000000002</v>
      </c>
      <c r="J56" s="103">
        <f t="shared" si="35"/>
        <v>146.41250000000002</v>
      </c>
      <c r="K56" s="103">
        <f t="shared" si="35"/>
        <v>177.41750000000002</v>
      </c>
      <c r="L56" s="103">
        <f t="shared" si="35"/>
        <v>190.41750000000002</v>
      </c>
      <c r="M56" s="103">
        <f t="shared" si="35"/>
        <v>192.76075000000003</v>
      </c>
      <c r="N56" s="103">
        <f t="shared" si="35"/>
        <v>196.76280750000004</v>
      </c>
      <c r="O56" s="103">
        <f t="shared" si="35"/>
        <v>198.58133557500014</v>
      </c>
      <c r="P56" s="103">
        <f t="shared" si="35"/>
        <v>200.41804893075013</v>
      </c>
      <c r="Q56" s="103">
        <f t="shared" si="35"/>
        <v>202.27312942005759</v>
      </c>
      <c r="R56" s="103">
        <f t="shared" si="35"/>
        <v>204.14676071425816</v>
      </c>
      <c r="S56" s="103">
        <f t="shared" si="35"/>
        <v>206.03912832140068</v>
      </c>
      <c r="T56" s="103">
        <f t="shared" si="35"/>
        <v>207.95041960461469</v>
      </c>
      <c r="U56" s="103">
        <f t="shared" si="35"/>
        <v>209.88082380066083</v>
      </c>
      <c r="V56" s="103">
        <f t="shared" si="35"/>
        <v>211.83053203866751</v>
      </c>
      <c r="W56" s="103">
        <f t="shared" si="35"/>
        <v>213.79973735905412</v>
      </c>
      <c r="X56" s="103">
        <f t="shared" si="35"/>
        <v>215.7886347326446</v>
      </c>
      <c r="Y56" s="103">
        <f t="shared" si="35"/>
        <v>217.797421079971</v>
      </c>
      <c r="Z56" s="103">
        <f t="shared" si="35"/>
        <v>219.82629529077076</v>
      </c>
      <c r="AA56" s="103">
        <f t="shared" si="35"/>
        <v>221.87545824367848</v>
      </c>
    </row>
    <row r="57" spans="1:27" x14ac:dyDescent="0.25">
      <c r="A57" s="102" t="s">
        <v>282</v>
      </c>
      <c r="B57" s="45"/>
      <c r="C57" s="45"/>
      <c r="D57" s="103">
        <f t="shared" ref="D57:AA57" si="36">+D21</f>
        <v>200</v>
      </c>
      <c r="E57" s="103">
        <f t="shared" si="36"/>
        <v>300</v>
      </c>
      <c r="F57" s="103">
        <f t="shared" si="36"/>
        <v>320</v>
      </c>
      <c r="G57" s="103">
        <f t="shared" si="36"/>
        <v>350</v>
      </c>
      <c r="H57" s="103">
        <f t="shared" si="36"/>
        <v>400</v>
      </c>
      <c r="I57" s="103">
        <f t="shared" si="36"/>
        <v>320</v>
      </c>
      <c r="J57" s="103">
        <f t="shared" si="36"/>
        <v>320</v>
      </c>
      <c r="K57" s="103">
        <f t="shared" si="36"/>
        <v>300</v>
      </c>
      <c r="L57" s="103">
        <f t="shared" si="36"/>
        <v>300</v>
      </c>
      <c r="M57" s="103">
        <f t="shared" si="36"/>
        <v>303</v>
      </c>
      <c r="N57" s="103">
        <f t="shared" si="36"/>
        <v>306.03000000000003</v>
      </c>
      <c r="O57" s="103">
        <f t="shared" si="36"/>
        <v>309.09030000000001</v>
      </c>
      <c r="P57" s="103">
        <f t="shared" si="36"/>
        <v>312.18120300000004</v>
      </c>
      <c r="Q57" s="103">
        <f t="shared" si="36"/>
        <v>315.30301503000004</v>
      </c>
      <c r="R57" s="103">
        <f t="shared" si="36"/>
        <v>318.45604518030007</v>
      </c>
      <c r="S57" s="103">
        <f t="shared" si="36"/>
        <v>321.64060563210307</v>
      </c>
      <c r="T57" s="103">
        <f t="shared" si="36"/>
        <v>324.85701168842411</v>
      </c>
      <c r="U57" s="103">
        <f t="shared" si="36"/>
        <v>328.10558180530836</v>
      </c>
      <c r="V57" s="103">
        <f t="shared" si="36"/>
        <v>331.38663762336142</v>
      </c>
      <c r="W57" s="103">
        <f t="shared" si="36"/>
        <v>334.70050399959501</v>
      </c>
      <c r="X57" s="103">
        <f t="shared" si="36"/>
        <v>338.04750903959098</v>
      </c>
      <c r="Y57" s="103">
        <f t="shared" si="36"/>
        <v>341.4279841299869</v>
      </c>
      <c r="Z57" s="103">
        <f t="shared" si="36"/>
        <v>344.84226397128674</v>
      </c>
      <c r="AA57" s="103">
        <f t="shared" si="36"/>
        <v>348.29068661099961</v>
      </c>
    </row>
    <row r="58" spans="1:27" x14ac:dyDescent="0.25">
      <c r="A58" s="102" t="s">
        <v>283</v>
      </c>
      <c r="B58" s="45"/>
      <c r="C58" s="45"/>
      <c r="D58" s="103">
        <f t="shared" ref="D58:AA58" si="37">-D8+C8</f>
        <v>-200</v>
      </c>
      <c r="E58" s="103">
        <f t="shared" si="37"/>
        <v>-200</v>
      </c>
      <c r="F58" s="103">
        <f t="shared" si="37"/>
        <v>-200</v>
      </c>
      <c r="G58" s="103">
        <f t="shared" si="37"/>
        <v>-400</v>
      </c>
      <c r="H58" s="103">
        <f t="shared" si="37"/>
        <v>-600</v>
      </c>
      <c r="I58" s="103">
        <f t="shared" si="37"/>
        <v>-300</v>
      </c>
      <c r="J58" s="103">
        <f t="shared" si="37"/>
        <v>-100</v>
      </c>
      <c r="K58" s="103">
        <f t="shared" si="37"/>
        <v>-200</v>
      </c>
      <c r="L58" s="103">
        <f t="shared" si="37"/>
        <v>-300</v>
      </c>
      <c r="M58" s="103">
        <f t="shared" si="37"/>
        <v>-200</v>
      </c>
      <c r="N58" s="103">
        <f t="shared" si="37"/>
        <v>-306.02999999999975</v>
      </c>
      <c r="O58" s="103">
        <f t="shared" si="37"/>
        <v>-309.09029999999984</v>
      </c>
      <c r="P58" s="103">
        <f t="shared" si="37"/>
        <v>-312.1812030000001</v>
      </c>
      <c r="Q58" s="103">
        <f t="shared" si="37"/>
        <v>-315.3030150300001</v>
      </c>
      <c r="R58" s="103">
        <f t="shared" si="37"/>
        <v>-318.45604518029995</v>
      </c>
      <c r="S58" s="103">
        <f t="shared" si="37"/>
        <v>-321.64060563210296</v>
      </c>
      <c r="T58" s="103">
        <f t="shared" si="37"/>
        <v>-324.85701168842388</v>
      </c>
      <c r="U58" s="103">
        <f t="shared" si="37"/>
        <v>-328.10558180530825</v>
      </c>
      <c r="V58" s="103">
        <f t="shared" si="37"/>
        <v>-331.38663762336182</v>
      </c>
      <c r="W58" s="103">
        <f t="shared" si="37"/>
        <v>-334.70050399959473</v>
      </c>
      <c r="X58" s="103">
        <f t="shared" si="37"/>
        <v>-338.0475090395912</v>
      </c>
      <c r="Y58" s="103">
        <f t="shared" si="37"/>
        <v>-341.42798412998673</v>
      </c>
      <c r="Z58" s="103">
        <f t="shared" si="37"/>
        <v>-344.84226397128714</v>
      </c>
      <c r="AA58" s="103">
        <f t="shared" si="37"/>
        <v>-348.29068661099882</v>
      </c>
    </row>
    <row r="59" spans="1:27" x14ac:dyDescent="0.25">
      <c r="A59" s="102" t="s">
        <v>284</v>
      </c>
      <c r="B59" s="45"/>
      <c r="C59" s="45"/>
      <c r="D59" s="103">
        <f>+D49</f>
        <v>-50</v>
      </c>
      <c r="E59" s="103">
        <f t="shared" ref="E59:AA59" si="38">+E49</f>
        <v>-50</v>
      </c>
      <c r="F59" s="103">
        <f t="shared" si="38"/>
        <v>-50</v>
      </c>
      <c r="G59" s="103">
        <f t="shared" si="38"/>
        <v>-50</v>
      </c>
      <c r="H59" s="103">
        <f t="shared" si="38"/>
        <v>-50</v>
      </c>
      <c r="I59" s="103">
        <f t="shared" si="38"/>
        <v>-50</v>
      </c>
      <c r="J59" s="103">
        <f t="shared" si="38"/>
        <v>-50</v>
      </c>
      <c r="K59" s="103">
        <f t="shared" si="38"/>
        <v>-50</v>
      </c>
      <c r="L59" s="103">
        <f t="shared" si="38"/>
        <v>-50</v>
      </c>
      <c r="M59" s="103">
        <f t="shared" si="38"/>
        <v>-50</v>
      </c>
      <c r="N59" s="103">
        <f t="shared" si="38"/>
        <v>-10</v>
      </c>
      <c r="O59" s="103">
        <f t="shared" si="38"/>
        <v>-10.100000000000023</v>
      </c>
      <c r="P59" s="103">
        <f t="shared" si="38"/>
        <v>-10.200999999999908</v>
      </c>
      <c r="Q59" s="103">
        <f t="shared" si="38"/>
        <v>-10.303010000000086</v>
      </c>
      <c r="R59" s="103">
        <f t="shared" si="38"/>
        <v>-10.406040099999927</v>
      </c>
      <c r="S59" s="103">
        <f t="shared" si="38"/>
        <v>-10.510100500999897</v>
      </c>
      <c r="T59" s="103">
        <f t="shared" si="38"/>
        <v>-10.615201506009953</v>
      </c>
      <c r="U59" s="103">
        <f t="shared" si="38"/>
        <v>-10.721353521070114</v>
      </c>
      <c r="V59" s="103">
        <f t="shared" si="38"/>
        <v>-10.828567056280917</v>
      </c>
      <c r="W59" s="103">
        <f t="shared" si="38"/>
        <v>-10.936852726843654</v>
      </c>
      <c r="X59" s="103">
        <f t="shared" si="38"/>
        <v>-11.04622125411197</v>
      </c>
      <c r="Y59" s="103">
        <f t="shared" si="38"/>
        <v>-11.156683466653249</v>
      </c>
      <c r="Z59" s="103">
        <f t="shared" si="38"/>
        <v>-11.268250301319767</v>
      </c>
      <c r="AA59" s="103">
        <f t="shared" si="38"/>
        <v>-11.380932804332815</v>
      </c>
    </row>
    <row r="60" spans="1:27" ht="16.5" thickBot="1" x14ac:dyDescent="0.3">
      <c r="A60" s="102" t="s">
        <v>291</v>
      </c>
      <c r="B60" s="45"/>
      <c r="C60" s="45"/>
      <c r="D60" s="103">
        <f t="shared" ref="D60:AA60" si="39">+D14-C14</f>
        <v>50</v>
      </c>
      <c r="E60" s="103">
        <f t="shared" si="39"/>
        <v>-50</v>
      </c>
      <c r="F60" s="103">
        <f t="shared" si="39"/>
        <v>-70</v>
      </c>
      <c r="G60" s="103">
        <f t="shared" si="39"/>
        <v>100</v>
      </c>
      <c r="H60" s="103">
        <f t="shared" si="39"/>
        <v>250</v>
      </c>
      <c r="I60" s="103">
        <f t="shared" si="39"/>
        <v>30</v>
      </c>
      <c r="J60" s="103">
        <f t="shared" si="39"/>
        <v>-170</v>
      </c>
      <c r="K60" s="103">
        <f t="shared" si="39"/>
        <v>-50</v>
      </c>
      <c r="L60" s="103">
        <f t="shared" si="39"/>
        <v>50</v>
      </c>
      <c r="M60" s="103">
        <f t="shared" si="39"/>
        <v>-53</v>
      </c>
      <c r="N60" s="103">
        <f t="shared" si="39"/>
        <v>9.9999999999995453</v>
      </c>
      <c r="O60" s="103">
        <f t="shared" si="39"/>
        <v>10.099999999999909</v>
      </c>
      <c r="P60" s="103">
        <f t="shared" si="39"/>
        <v>10.201000000000477</v>
      </c>
      <c r="Q60" s="103">
        <f t="shared" si="39"/>
        <v>10.303010000000086</v>
      </c>
      <c r="R60" s="103">
        <f t="shared" si="39"/>
        <v>10.406040099999927</v>
      </c>
      <c r="S60" s="103">
        <f t="shared" si="39"/>
        <v>10.510100500999897</v>
      </c>
      <c r="T60" s="103">
        <f t="shared" si="39"/>
        <v>10.615201506009953</v>
      </c>
      <c r="U60" s="103">
        <f t="shared" si="39"/>
        <v>10.721353521070114</v>
      </c>
      <c r="V60" s="103">
        <f t="shared" si="39"/>
        <v>10.828567056280917</v>
      </c>
      <c r="W60" s="103">
        <f t="shared" si="39"/>
        <v>10.936852726843654</v>
      </c>
      <c r="X60" s="103">
        <f t="shared" si="39"/>
        <v>11.04622125411197</v>
      </c>
      <c r="Y60" s="103">
        <f t="shared" si="39"/>
        <v>11.156683466653249</v>
      </c>
      <c r="Z60" s="103">
        <f t="shared" si="39"/>
        <v>11.268250301319767</v>
      </c>
      <c r="AA60" s="103">
        <f t="shared" si="39"/>
        <v>11.380932804331906</v>
      </c>
    </row>
    <row r="61" spans="1:27" ht="16.5" thickBot="1" x14ac:dyDescent="0.3">
      <c r="A61" s="107" t="s">
        <v>292</v>
      </c>
      <c r="B61" s="108"/>
      <c r="C61" s="108"/>
      <c r="D61" s="109">
        <f t="shared" ref="D61:M61" si="40">SUM(D56:D60)</f>
        <v>155.51249999999999</v>
      </c>
      <c r="E61" s="109">
        <f t="shared" si="40"/>
        <v>103.51249999999999</v>
      </c>
      <c r="F61" s="109">
        <f t="shared" si="40"/>
        <v>106.24250000000001</v>
      </c>
      <c r="G61" s="109">
        <f t="shared" si="40"/>
        <v>99.06</v>
      </c>
      <c r="H61" s="109">
        <f t="shared" si="40"/>
        <v>71.597499999999968</v>
      </c>
      <c r="I61" s="109">
        <f t="shared" si="40"/>
        <v>130.22750000000002</v>
      </c>
      <c r="J61" s="109">
        <f t="shared" si="40"/>
        <v>146.41250000000002</v>
      </c>
      <c r="K61" s="109">
        <f t="shared" si="40"/>
        <v>177.41750000000002</v>
      </c>
      <c r="L61" s="109">
        <f t="shared" si="40"/>
        <v>190.41750000000002</v>
      </c>
      <c r="M61" s="109">
        <f t="shared" si="40"/>
        <v>192.76075000000003</v>
      </c>
      <c r="N61" s="109">
        <f t="shared" ref="N61:AA61" si="41">SUM(N56:N60)</f>
        <v>196.76280749999989</v>
      </c>
      <c r="O61" s="109">
        <f t="shared" si="41"/>
        <v>198.5813355750002</v>
      </c>
      <c r="P61" s="109">
        <f t="shared" si="41"/>
        <v>200.41804893075061</v>
      </c>
      <c r="Q61" s="109">
        <f t="shared" si="41"/>
        <v>202.27312942005756</v>
      </c>
      <c r="R61" s="109">
        <f t="shared" si="41"/>
        <v>204.14676071425833</v>
      </c>
      <c r="S61" s="109">
        <f t="shared" si="41"/>
        <v>206.03912832140077</v>
      </c>
      <c r="T61" s="109">
        <f t="shared" si="41"/>
        <v>207.95041960461492</v>
      </c>
      <c r="U61" s="109">
        <f t="shared" si="41"/>
        <v>209.88082380066089</v>
      </c>
      <c r="V61" s="109">
        <f t="shared" si="41"/>
        <v>211.83053203866712</v>
      </c>
      <c r="W61" s="109">
        <f t="shared" si="41"/>
        <v>213.79973735905446</v>
      </c>
      <c r="X61" s="109">
        <f t="shared" si="41"/>
        <v>215.78863473264437</v>
      </c>
      <c r="Y61" s="109">
        <f t="shared" si="41"/>
        <v>217.79742107997117</v>
      </c>
      <c r="Z61" s="109">
        <f t="shared" si="41"/>
        <v>219.8262952907703</v>
      </c>
      <c r="AA61" s="117">
        <f t="shared" si="41"/>
        <v>221.87545824367839</v>
      </c>
    </row>
    <row r="62" spans="1:27" x14ac:dyDescent="0.25">
      <c r="A62" s="102" t="s">
        <v>291</v>
      </c>
      <c r="B62" s="45"/>
      <c r="C62" s="45"/>
      <c r="D62" s="103">
        <f t="shared" ref="D62:AA62" si="42">-D60</f>
        <v>-50</v>
      </c>
      <c r="E62" s="103">
        <f t="shared" si="42"/>
        <v>50</v>
      </c>
      <c r="F62" s="103">
        <f t="shared" si="42"/>
        <v>70</v>
      </c>
      <c r="G62" s="103">
        <f t="shared" si="42"/>
        <v>-100</v>
      </c>
      <c r="H62" s="103">
        <f t="shared" si="42"/>
        <v>-250</v>
      </c>
      <c r="I62" s="103">
        <f t="shared" si="42"/>
        <v>-30</v>
      </c>
      <c r="J62" s="103">
        <f t="shared" si="42"/>
        <v>170</v>
      </c>
      <c r="K62" s="103">
        <f t="shared" si="42"/>
        <v>50</v>
      </c>
      <c r="L62" s="103">
        <f t="shared" si="42"/>
        <v>-50</v>
      </c>
      <c r="M62" s="103">
        <f t="shared" si="42"/>
        <v>53</v>
      </c>
      <c r="N62" s="103">
        <f t="shared" si="42"/>
        <v>-9.9999999999995453</v>
      </c>
      <c r="O62" s="103">
        <f t="shared" si="42"/>
        <v>-10.099999999999909</v>
      </c>
      <c r="P62" s="103">
        <f t="shared" si="42"/>
        <v>-10.201000000000477</v>
      </c>
      <c r="Q62" s="103">
        <f t="shared" si="42"/>
        <v>-10.303010000000086</v>
      </c>
      <c r="R62" s="103">
        <f t="shared" si="42"/>
        <v>-10.406040099999927</v>
      </c>
      <c r="S62" s="103">
        <f t="shared" si="42"/>
        <v>-10.510100500999897</v>
      </c>
      <c r="T62" s="103">
        <f t="shared" si="42"/>
        <v>-10.615201506009953</v>
      </c>
      <c r="U62" s="103">
        <f t="shared" si="42"/>
        <v>-10.721353521070114</v>
      </c>
      <c r="V62" s="103">
        <f t="shared" si="42"/>
        <v>-10.828567056280917</v>
      </c>
      <c r="W62" s="103">
        <f t="shared" si="42"/>
        <v>-10.936852726843654</v>
      </c>
      <c r="X62" s="103">
        <f t="shared" si="42"/>
        <v>-11.04622125411197</v>
      </c>
      <c r="Y62" s="103">
        <f t="shared" si="42"/>
        <v>-11.156683466653249</v>
      </c>
      <c r="Z62" s="103">
        <f t="shared" si="42"/>
        <v>-11.268250301319767</v>
      </c>
      <c r="AA62" s="103">
        <f t="shared" si="42"/>
        <v>-11.380932804331906</v>
      </c>
    </row>
    <row r="63" spans="1:27" ht="16.5" thickBot="1" x14ac:dyDescent="0.3">
      <c r="A63" s="102" t="s">
        <v>252</v>
      </c>
      <c r="B63" s="45"/>
      <c r="C63" s="45"/>
      <c r="D63" s="103">
        <f t="shared" ref="D63:AA63" si="43">+D23</f>
        <v>50.750000000000007</v>
      </c>
      <c r="E63" s="103">
        <f t="shared" si="43"/>
        <v>50.750000000000007</v>
      </c>
      <c r="F63" s="103">
        <f t="shared" si="43"/>
        <v>46.550000000000004</v>
      </c>
      <c r="G63" s="103">
        <f t="shared" si="43"/>
        <v>47.6</v>
      </c>
      <c r="H63" s="103">
        <f t="shared" si="43"/>
        <v>59.850000000000009</v>
      </c>
      <c r="I63" s="103">
        <f t="shared" si="43"/>
        <v>69.650000000000006</v>
      </c>
      <c r="J63" s="103">
        <f t="shared" si="43"/>
        <v>64.75</v>
      </c>
      <c r="K63" s="103">
        <f t="shared" si="43"/>
        <v>57.050000000000004</v>
      </c>
      <c r="L63" s="103">
        <f t="shared" si="43"/>
        <v>57.050000000000004</v>
      </c>
      <c r="M63" s="103">
        <f t="shared" si="43"/>
        <v>56.945000000000007</v>
      </c>
      <c r="N63" s="103">
        <f t="shared" si="43"/>
        <v>55.439999999999991</v>
      </c>
      <c r="O63" s="103">
        <f t="shared" si="43"/>
        <v>56.143499999999968</v>
      </c>
      <c r="P63" s="103">
        <f t="shared" si="43"/>
        <v>56.854034999999982</v>
      </c>
      <c r="Q63" s="103">
        <f t="shared" si="43"/>
        <v>57.571675350000007</v>
      </c>
      <c r="R63" s="103">
        <f t="shared" si="43"/>
        <v>58.296492103500007</v>
      </c>
      <c r="S63" s="103">
        <f t="shared" si="43"/>
        <v>59.028557024534997</v>
      </c>
      <c r="T63" s="103">
        <f t="shared" si="43"/>
        <v>59.767942594780344</v>
      </c>
      <c r="U63" s="103">
        <f t="shared" si="43"/>
        <v>60.514722020728144</v>
      </c>
      <c r="V63" s="103">
        <f t="shared" si="43"/>
        <v>61.268969240935434</v>
      </c>
      <c r="W63" s="103">
        <f t="shared" si="43"/>
        <v>62.030758933344792</v>
      </c>
      <c r="X63" s="103">
        <f t="shared" si="43"/>
        <v>62.800166522678239</v>
      </c>
      <c r="Y63" s="103">
        <f t="shared" si="43"/>
        <v>63.57726818790502</v>
      </c>
      <c r="Z63" s="103">
        <f t="shared" si="43"/>
        <v>64.362140869784071</v>
      </c>
      <c r="AA63" s="103">
        <f t="shared" si="43"/>
        <v>65.154862278481886</v>
      </c>
    </row>
    <row r="64" spans="1:27" ht="16.5" thickBot="1" x14ac:dyDescent="0.3">
      <c r="A64" s="107" t="s">
        <v>293</v>
      </c>
      <c r="B64" s="108"/>
      <c r="C64" s="108"/>
      <c r="D64" s="109">
        <f t="shared" ref="D64:AA64" si="44">SUM(D61:D63)</f>
        <v>156.26249999999999</v>
      </c>
      <c r="E64" s="109">
        <f t="shared" si="44"/>
        <v>204.26249999999999</v>
      </c>
      <c r="F64" s="109">
        <f t="shared" si="44"/>
        <v>222.79250000000002</v>
      </c>
      <c r="G64" s="109">
        <f t="shared" si="44"/>
        <v>46.660000000000004</v>
      </c>
      <c r="H64" s="109">
        <f t="shared" si="44"/>
        <v>-118.55250000000002</v>
      </c>
      <c r="I64" s="109">
        <f t="shared" si="44"/>
        <v>169.87750000000003</v>
      </c>
      <c r="J64" s="109">
        <f t="shared" si="44"/>
        <v>381.16250000000002</v>
      </c>
      <c r="K64" s="109">
        <f t="shared" si="44"/>
        <v>284.46750000000003</v>
      </c>
      <c r="L64" s="109">
        <f t="shared" si="44"/>
        <v>197.46750000000003</v>
      </c>
      <c r="M64" s="109">
        <f t="shared" si="44"/>
        <v>302.70575000000002</v>
      </c>
      <c r="N64" s="109">
        <f t="shared" si="44"/>
        <v>242.20280750000035</v>
      </c>
      <c r="O64" s="109">
        <f t="shared" si="44"/>
        <v>244.62483557500025</v>
      </c>
      <c r="P64" s="109">
        <f t="shared" si="44"/>
        <v>247.07108393075012</v>
      </c>
      <c r="Q64" s="109">
        <f t="shared" si="44"/>
        <v>249.54179477005749</v>
      </c>
      <c r="R64" s="109">
        <f t="shared" si="44"/>
        <v>252.03721271775842</v>
      </c>
      <c r="S64" s="109">
        <f t="shared" si="44"/>
        <v>254.55758484493586</v>
      </c>
      <c r="T64" s="109">
        <f t="shared" si="44"/>
        <v>257.10316069338529</v>
      </c>
      <c r="U64" s="109">
        <f t="shared" si="44"/>
        <v>259.67419230031891</v>
      </c>
      <c r="V64" s="109">
        <f t="shared" si="44"/>
        <v>262.27093422332166</v>
      </c>
      <c r="W64" s="109">
        <f t="shared" si="44"/>
        <v>264.89364356555558</v>
      </c>
      <c r="X64" s="109">
        <f t="shared" si="44"/>
        <v>267.54258000121064</v>
      </c>
      <c r="Y64" s="109">
        <f t="shared" si="44"/>
        <v>270.21800580122294</v>
      </c>
      <c r="Z64" s="109">
        <f t="shared" si="44"/>
        <v>272.92018585923461</v>
      </c>
      <c r="AA64" s="117">
        <f t="shared" si="44"/>
        <v>275.6493877178284</v>
      </c>
    </row>
    <row r="66" spans="1:28" ht="16.5" thickBot="1" x14ac:dyDescent="0.3">
      <c r="A66" s="9"/>
      <c r="B66" s="9"/>
      <c r="C66" s="9">
        <v>1839.0587786039941</v>
      </c>
      <c r="D66" s="131">
        <v>1809.669945765206</v>
      </c>
      <c r="E66" s="9">
        <v>1742.2774095667014</v>
      </c>
      <c r="F66" s="9">
        <v>1663.2429628878931</v>
      </c>
      <c r="G66" s="9">
        <v>1767.3647536401186</v>
      </c>
      <c r="H66" s="9">
        <v>2060.4192235035812</v>
      </c>
      <c r="I66" s="9">
        <v>2102.2127417316783</v>
      </c>
      <c r="J66" s="9">
        <v>1944.343928839402</v>
      </c>
      <c r="K66" s="9">
        <v>1878.4881847111008</v>
      </c>
      <c r="L66" s="9">
        <v>1902.5188328338172</v>
      </c>
      <c r="M66" s="9">
        <v>1829.6475133292001</v>
      </c>
      <c r="N66" s="9">
        <v>1818.436768547384</v>
      </c>
      <c r="O66" s="9">
        <v>1809.8564728508429</v>
      </c>
      <c r="P66" s="9">
        <v>1803.6822485706793</v>
      </c>
    </row>
    <row r="67" spans="1:28" x14ac:dyDescent="0.25">
      <c r="A67" s="118"/>
      <c r="B67" s="118" t="s">
        <v>294</v>
      </c>
      <c r="C67" s="101">
        <v>0</v>
      </c>
      <c r="D67" s="101">
        <v>1</v>
      </c>
      <c r="E67" s="101">
        <f t="shared" ref="E67:M67" si="45">D67+1</f>
        <v>2</v>
      </c>
      <c r="F67" s="101">
        <f t="shared" si="45"/>
        <v>3</v>
      </c>
      <c r="G67" s="101">
        <f t="shared" si="45"/>
        <v>4</v>
      </c>
      <c r="H67" s="101">
        <f t="shared" si="45"/>
        <v>5</v>
      </c>
      <c r="I67" s="101">
        <f t="shared" si="45"/>
        <v>6</v>
      </c>
      <c r="J67" s="101">
        <f t="shared" si="45"/>
        <v>7</v>
      </c>
      <c r="K67" s="101">
        <f t="shared" si="45"/>
        <v>8</v>
      </c>
      <c r="L67" s="101">
        <f t="shared" si="45"/>
        <v>9</v>
      </c>
      <c r="M67" s="101">
        <f t="shared" si="45"/>
        <v>10</v>
      </c>
      <c r="N67" s="101">
        <f>M67+1</f>
        <v>11</v>
      </c>
      <c r="O67" s="101">
        <f t="shared" ref="O67:AA67" si="46">N67+1</f>
        <v>12</v>
      </c>
      <c r="P67" s="101">
        <f t="shared" si="46"/>
        <v>13</v>
      </c>
      <c r="Q67" s="101">
        <f t="shared" si="46"/>
        <v>14</v>
      </c>
      <c r="R67" s="101">
        <f t="shared" si="46"/>
        <v>15</v>
      </c>
      <c r="S67" s="101">
        <f t="shared" si="46"/>
        <v>16</v>
      </c>
      <c r="T67" s="101">
        <f t="shared" si="46"/>
        <v>17</v>
      </c>
      <c r="U67" s="101">
        <f t="shared" si="46"/>
        <v>18</v>
      </c>
      <c r="V67" s="101">
        <f t="shared" si="46"/>
        <v>19</v>
      </c>
      <c r="W67" s="101">
        <f t="shared" si="46"/>
        <v>20</v>
      </c>
      <c r="X67" s="101">
        <f t="shared" si="46"/>
        <v>21</v>
      </c>
      <c r="Y67" s="101">
        <f t="shared" si="46"/>
        <v>22</v>
      </c>
      <c r="Z67" s="101">
        <f t="shared" si="46"/>
        <v>23</v>
      </c>
      <c r="AA67" s="101">
        <f t="shared" si="46"/>
        <v>24</v>
      </c>
    </row>
    <row r="68" spans="1:28" x14ac:dyDescent="0.25">
      <c r="A68" s="118"/>
      <c r="B68" s="118" t="s">
        <v>295</v>
      </c>
      <c r="C68" s="119">
        <f>+C54</f>
        <v>0</v>
      </c>
      <c r="D68" s="119">
        <f t="shared" ref="D68:AA68" si="47">+D54</f>
        <v>165.94</v>
      </c>
      <c r="E68" s="119">
        <f t="shared" si="47"/>
        <v>215.9</v>
      </c>
      <c r="F68" s="119">
        <f t="shared" si="47"/>
        <v>233.94</v>
      </c>
      <c r="G68" s="119">
        <f t="shared" si="47"/>
        <v>54.696000000000005</v>
      </c>
      <c r="H68" s="119">
        <f t="shared" si="47"/>
        <v>-110.884</v>
      </c>
      <c r="I68" s="119">
        <f t="shared" si="47"/>
        <v>183.916</v>
      </c>
      <c r="J68" s="119">
        <f t="shared" si="47"/>
        <v>398.09199999999998</v>
      </c>
      <c r="K68" s="119">
        <f t="shared" si="47"/>
        <v>297.428</v>
      </c>
      <c r="L68" s="119">
        <f t="shared" si="47"/>
        <v>208.46800000000002</v>
      </c>
      <c r="M68" s="119">
        <f t="shared" si="47"/>
        <v>315.70299999999997</v>
      </c>
      <c r="N68" s="119">
        <f t="shared" si="47"/>
        <v>252.92315000000033</v>
      </c>
      <c r="O68" s="119">
        <f t="shared" si="47"/>
        <v>255.5358775000002</v>
      </c>
      <c r="P68" s="119">
        <f t="shared" si="47"/>
        <v>258.17473227500011</v>
      </c>
      <c r="Q68" s="119">
        <f t="shared" si="47"/>
        <v>260.83997559774991</v>
      </c>
      <c r="R68" s="119">
        <f t="shared" si="47"/>
        <v>263.53187135372775</v>
      </c>
      <c r="S68" s="119">
        <f t="shared" si="47"/>
        <v>266.25068606726501</v>
      </c>
      <c r="T68" s="119">
        <f t="shared" si="47"/>
        <v>268.99668892793773</v>
      </c>
      <c r="U68" s="119">
        <f t="shared" si="47"/>
        <v>271.77015181721686</v>
      </c>
      <c r="V68" s="119">
        <f t="shared" si="47"/>
        <v>274.57134933538845</v>
      </c>
      <c r="W68" s="119">
        <f t="shared" si="47"/>
        <v>277.4005588287431</v>
      </c>
      <c r="X68" s="119">
        <f t="shared" si="47"/>
        <v>280.25806041703009</v>
      </c>
      <c r="Y68" s="119">
        <f t="shared" si="47"/>
        <v>283.14413702120061</v>
      </c>
      <c r="Z68" s="119">
        <f t="shared" si="47"/>
        <v>286.05907439141208</v>
      </c>
      <c r="AA68" s="119">
        <f t="shared" si="47"/>
        <v>289.00316113532762</v>
      </c>
    </row>
    <row r="69" spans="1:28" x14ac:dyDescent="0.25">
      <c r="A69" s="118"/>
      <c r="B69" s="118" t="s">
        <v>272</v>
      </c>
      <c r="C69" s="120">
        <f>+C37</f>
        <v>0.11200000000000002</v>
      </c>
      <c r="D69" s="120">
        <f t="shared" ref="D69:AA69" si="48">+D37</f>
        <v>0.11200000000000002</v>
      </c>
      <c r="E69" s="120">
        <f t="shared" si="48"/>
        <v>0.11200000000000002</v>
      </c>
      <c r="F69" s="120">
        <f t="shared" si="48"/>
        <v>0.11200000000000002</v>
      </c>
      <c r="G69" s="120">
        <f t="shared" si="48"/>
        <v>0.11200000000000002</v>
      </c>
      <c r="H69" s="120">
        <f t="shared" si="48"/>
        <v>0.11200000000000002</v>
      </c>
      <c r="I69" s="120">
        <f t="shared" si="48"/>
        <v>0.11200000000000002</v>
      </c>
      <c r="J69" s="120">
        <f t="shared" si="48"/>
        <v>0.11200000000000002</v>
      </c>
      <c r="K69" s="120">
        <f t="shared" si="48"/>
        <v>0.11200000000000002</v>
      </c>
      <c r="L69" s="120">
        <f t="shared" si="48"/>
        <v>0.11200000000000002</v>
      </c>
      <c r="M69" s="120">
        <f t="shared" si="48"/>
        <v>0.11200000000000002</v>
      </c>
      <c r="N69" s="120">
        <f t="shared" si="48"/>
        <v>0.11200000000000002</v>
      </c>
      <c r="O69" s="120">
        <f t="shared" si="48"/>
        <v>0.11200000000000002</v>
      </c>
      <c r="P69" s="120">
        <f t="shared" si="48"/>
        <v>0.11200000000000002</v>
      </c>
      <c r="Q69" s="120">
        <f t="shared" si="48"/>
        <v>0.11200000000000002</v>
      </c>
      <c r="R69" s="120">
        <f t="shared" si="48"/>
        <v>0.11200000000000002</v>
      </c>
      <c r="S69" s="120">
        <f t="shared" si="48"/>
        <v>0.11200000000000002</v>
      </c>
      <c r="T69" s="120">
        <f t="shared" si="48"/>
        <v>0.11200000000000002</v>
      </c>
      <c r="U69" s="120">
        <f t="shared" si="48"/>
        <v>0.11200000000000002</v>
      </c>
      <c r="V69" s="120">
        <f t="shared" si="48"/>
        <v>0.11200000000000002</v>
      </c>
      <c r="W69" s="120">
        <f t="shared" si="48"/>
        <v>0.11200000000000002</v>
      </c>
      <c r="X69" s="120">
        <f t="shared" si="48"/>
        <v>0.11200000000000002</v>
      </c>
      <c r="Y69" s="120">
        <f t="shared" si="48"/>
        <v>0.11200000000000002</v>
      </c>
      <c r="Z69" s="120">
        <f t="shared" si="48"/>
        <v>0.11200000000000002</v>
      </c>
      <c r="AA69" s="120">
        <f t="shared" si="48"/>
        <v>0.11200000000000002</v>
      </c>
      <c r="AB69" s="120"/>
    </row>
    <row r="70" spans="1:28" x14ac:dyDescent="0.25">
      <c r="A70" s="118"/>
      <c r="B70" s="118" t="s">
        <v>296</v>
      </c>
      <c r="C70" s="119">
        <f>1/(1+C69)^C67</f>
        <v>1</v>
      </c>
      <c r="D70" s="121">
        <f>+C70/(1+D69)</f>
        <v>0.89928057553956831</v>
      </c>
      <c r="E70" s="121">
        <f>+D70/(1+E69)</f>
        <v>0.80870555354277718</v>
      </c>
      <c r="F70" s="121">
        <f t="shared" ref="F70:AA70" si="49">+E70/(1+F69)</f>
        <v>0.72725319563199375</v>
      </c>
      <c r="G70" s="121">
        <f t="shared" si="49"/>
        <v>0.65400467233092963</v>
      </c>
      <c r="H70" s="121">
        <f t="shared" si="49"/>
        <v>0.58813369813932515</v>
      </c>
      <c r="I70" s="121">
        <f t="shared" si="49"/>
        <v>0.52889721055694705</v>
      </c>
      <c r="J70" s="121">
        <f t="shared" si="49"/>
        <v>0.47562698791092356</v>
      </c>
      <c r="K70" s="121">
        <f t="shared" si="49"/>
        <v>0.42772211143068661</v>
      </c>
      <c r="L70" s="121">
        <f t="shared" si="49"/>
        <v>0.38464218653838722</v>
      </c>
      <c r="M70" s="121">
        <f t="shared" si="49"/>
        <v>0.34590124688703883</v>
      </c>
      <c r="N70" s="121">
        <f t="shared" si="49"/>
        <v>0.31106227238043055</v>
      </c>
      <c r="O70" s="121">
        <f t="shared" si="49"/>
        <v>0.27973225933491952</v>
      </c>
      <c r="P70" s="121">
        <f t="shared" si="49"/>
        <v>0.25155778717169019</v>
      </c>
      <c r="Q70" s="121">
        <f t="shared" si="49"/>
        <v>0.22622103162921778</v>
      </c>
      <c r="R70" s="121">
        <f t="shared" si="49"/>
        <v>0.20343617952267784</v>
      </c>
      <c r="S70" s="121">
        <f t="shared" si="49"/>
        <v>0.18294620460672467</v>
      </c>
      <c r="T70" s="121">
        <f t="shared" si="49"/>
        <v>0.16451996817151499</v>
      </c>
      <c r="U70" s="121">
        <f t="shared" si="49"/>
        <v>0.14794961166503146</v>
      </c>
      <c r="V70" s="121">
        <f t="shared" si="49"/>
        <v>0.13304821192898511</v>
      </c>
      <c r="W70" s="121">
        <f t="shared" si="49"/>
        <v>0.11964767259800818</v>
      </c>
      <c r="X70" s="121">
        <f t="shared" si="49"/>
        <v>0.10759682787590663</v>
      </c>
      <c r="Y70" s="121">
        <f t="shared" si="49"/>
        <v>9.6759737298477172E-2</v>
      </c>
      <c r="Z70" s="121">
        <f t="shared" si="49"/>
        <v>8.7014152246831983E-2</v>
      </c>
      <c r="AA70" s="121">
        <f t="shared" si="49"/>
        <v>7.8250136912618687E-2</v>
      </c>
    </row>
    <row r="71" spans="1:28" x14ac:dyDescent="0.25">
      <c r="A71" s="118"/>
      <c r="B71" s="118" t="s">
        <v>297</v>
      </c>
      <c r="C71" s="119">
        <f>+C68*C70</f>
        <v>0</v>
      </c>
      <c r="D71" s="119">
        <f>+D68*D70</f>
        <v>149.22661870503597</v>
      </c>
      <c r="E71" s="119">
        <f t="shared" ref="E71:AA71" si="50">+E68*E70</f>
        <v>174.5995290098856</v>
      </c>
      <c r="F71" s="119">
        <f t="shared" si="50"/>
        <v>170.13361258614862</v>
      </c>
      <c r="G71" s="119">
        <f t="shared" si="50"/>
        <v>35.771439557812528</v>
      </c>
      <c r="H71" s="119">
        <f t="shared" si="50"/>
        <v>-65.214616984480926</v>
      </c>
      <c r="I71" s="119">
        <f t="shared" si="50"/>
        <v>97.272659376791466</v>
      </c>
      <c r="J71" s="119">
        <f t="shared" si="50"/>
        <v>189.34329887143537</v>
      </c>
      <c r="K71" s="119">
        <f t="shared" si="50"/>
        <v>127.21653215860626</v>
      </c>
      <c r="L71" s="119">
        <f t="shared" si="50"/>
        <v>80.18558734328451</v>
      </c>
      <c r="M71" s="119">
        <f t="shared" si="50"/>
        <v>109.20206134597881</v>
      </c>
      <c r="N71" s="119">
        <f t="shared" si="50"/>
        <v>78.674849776616597</v>
      </c>
      <c r="O71" s="119">
        <f t="shared" si="50"/>
        <v>71.481628354206279</v>
      </c>
      <c r="P71" s="119">
        <f t="shared" si="50"/>
        <v>64.945864354742568</v>
      </c>
      <c r="Q71" s="119">
        <f t="shared" si="50"/>
        <v>59.007488369862976</v>
      </c>
      <c r="R71" s="119">
        <f t="shared" si="50"/>
        <v>53.6119170906642</v>
      </c>
      <c r="S71" s="119">
        <f t="shared" si="50"/>
        <v>48.709552489942681</v>
      </c>
      <c r="T71" s="119">
        <f t="shared" si="50"/>
        <v>44.255326700667233</v>
      </c>
      <c r="U71" s="119">
        <f t="shared" si="50"/>
        <v>40.208288423503873</v>
      </c>
      <c r="V71" s="119">
        <f t="shared" si="50"/>
        <v>36.531227076002168</v>
      </c>
      <c r="W71" s="119">
        <f t="shared" si="50"/>
        <v>33.190331241245964</v>
      </c>
      <c r="X71" s="119">
        <f t="shared" si="50"/>
        <v>30.154878287526628</v>
      </c>
      <c r="Y71" s="119">
        <f t="shared" si="50"/>
        <v>27.396952315775394</v>
      </c>
      <c r="Z71" s="119">
        <f t="shared" si="50"/>
        <v>24.891187850682169</v>
      </c>
      <c r="AA71" s="119">
        <f t="shared" si="50"/>
        <v>22.614536927018985</v>
      </c>
    </row>
    <row r="72" spans="1:28" x14ac:dyDescent="0.25">
      <c r="A72" s="118"/>
      <c r="B72" s="122" t="s">
        <v>298</v>
      </c>
      <c r="C72" s="123">
        <f>+SUM(D71:M71)</f>
        <v>1067.7367219704984</v>
      </c>
      <c r="D72" s="123">
        <f>+SUM(E71:N71)/D70</f>
        <v>1108.8696677827916</v>
      </c>
      <c r="E72" s="123">
        <f t="shared" ref="E72:P72" si="51">+SUM(F71:O71)/E70</f>
        <v>1105.5532492260882</v>
      </c>
      <c r="F72" s="123">
        <f t="shared" si="51"/>
        <v>1084.7381749480601</v>
      </c>
      <c r="G72" s="123">
        <f t="shared" si="51"/>
        <v>1241.7577233394893</v>
      </c>
      <c r="H72" s="123">
        <f t="shared" si="51"/>
        <v>1582.8745912492411</v>
      </c>
      <c r="I72" s="123">
        <f t="shared" si="51"/>
        <v>1668.3369897643527</v>
      </c>
      <c r="J72" s="123">
        <f t="shared" si="51"/>
        <v>1550.1450227266191</v>
      </c>
      <c r="K72" s="123">
        <f t="shared" si="51"/>
        <v>1520.338899652256</v>
      </c>
      <c r="L72" s="123">
        <f t="shared" si="51"/>
        <v>1577.1234285078765</v>
      </c>
      <c r="M72" s="123">
        <f t="shared" si="51"/>
        <v>1534.0114516867823</v>
      </c>
      <c r="N72" s="123">
        <f t="shared" si="51"/>
        <v>1549.8391968240958</v>
      </c>
      <c r="O72" s="123">
        <f t="shared" si="51"/>
        <v>1565.8252194127824</v>
      </c>
      <c r="P72" s="123">
        <f t="shared" si="51"/>
        <v>1581.9711022273559</v>
      </c>
      <c r="Q72" s="123"/>
      <c r="R72" s="123"/>
      <c r="S72" s="123"/>
      <c r="T72" s="123"/>
      <c r="U72" s="123"/>
    </row>
    <row r="73" spans="1:28" ht="16.5" thickBot="1" x14ac:dyDescent="0.3">
      <c r="A73" s="118"/>
      <c r="B73" s="122" t="s">
        <v>299</v>
      </c>
      <c r="C73" s="123">
        <f>+N68/(N69-N$29)*M70</f>
        <v>857.71012697644755</v>
      </c>
      <c r="D73" s="123">
        <f>+O68/(O69-O$29)*N70/D70</f>
        <v>866.57037893748679</v>
      </c>
      <c r="E73" s="123">
        <f t="shared" ref="E73:P73" si="52">+P68/(P69-P$29)*O70/E70</f>
        <v>875.51923341813665</v>
      </c>
      <c r="F73" s="123">
        <f t="shared" si="52"/>
        <v>884.55757644359255</v>
      </c>
      <c r="G73" s="123">
        <f t="shared" si="52"/>
        <v>893.68630289930491</v>
      </c>
      <c r="H73" s="123">
        <f t="shared" si="52"/>
        <v>902.9063166195732</v>
      </c>
      <c r="I73" s="123">
        <f t="shared" si="52"/>
        <v>912.21853047704451</v>
      </c>
      <c r="J73" s="123">
        <f t="shared" si="52"/>
        <v>921.62386647308938</v>
      </c>
      <c r="K73" s="123">
        <f t="shared" si="52"/>
        <v>931.12325582909386</v>
      </c>
      <c r="L73" s="123">
        <f t="shared" si="52"/>
        <v>940.71763907866261</v>
      </c>
      <c r="M73" s="123">
        <f t="shared" si="52"/>
        <v>950.40796616072305</v>
      </c>
      <c r="N73" s="123">
        <f t="shared" si="52"/>
        <v>960.19519651360622</v>
      </c>
      <c r="O73" s="123">
        <f t="shared" si="52"/>
        <v>970.08029917001602</v>
      </c>
      <c r="P73" s="123">
        <f t="shared" si="52"/>
        <v>980.06425285299611</v>
      </c>
      <c r="Q73" s="123"/>
      <c r="R73" s="123"/>
      <c r="S73" s="123"/>
      <c r="T73" s="123"/>
      <c r="U73" s="123"/>
    </row>
    <row r="74" spans="1:28" ht="16.5" thickBot="1" x14ac:dyDescent="0.3">
      <c r="A74" s="9"/>
      <c r="B74" s="124" t="s">
        <v>300</v>
      </c>
      <c r="C74" s="125">
        <f>+C72+C73</f>
        <v>1925.4468489469459</v>
      </c>
      <c r="D74" s="125">
        <f t="shared" ref="D74:P74" si="53">+D72+D73</f>
        <v>1975.4400467202784</v>
      </c>
      <c r="E74" s="125">
        <f t="shared" si="53"/>
        <v>1981.0724826442247</v>
      </c>
      <c r="F74" s="125">
        <f t="shared" si="53"/>
        <v>1969.2957513916526</v>
      </c>
      <c r="G74" s="125">
        <f t="shared" si="53"/>
        <v>2135.4440262387943</v>
      </c>
      <c r="H74" s="125">
        <f t="shared" si="53"/>
        <v>2485.7809078688142</v>
      </c>
      <c r="I74" s="125">
        <f t="shared" si="53"/>
        <v>2580.5555202413971</v>
      </c>
      <c r="J74" s="125">
        <f t="shared" si="53"/>
        <v>2471.7688891997086</v>
      </c>
      <c r="K74" s="125">
        <f t="shared" si="53"/>
        <v>2451.4621554813498</v>
      </c>
      <c r="L74" s="125">
        <f t="shared" si="53"/>
        <v>2517.8410675865389</v>
      </c>
      <c r="M74" s="125">
        <f t="shared" si="53"/>
        <v>2484.4194178475054</v>
      </c>
      <c r="N74" s="125">
        <f t="shared" si="53"/>
        <v>2510.0343933377021</v>
      </c>
      <c r="O74" s="125">
        <f t="shared" si="53"/>
        <v>2535.9055185827983</v>
      </c>
      <c r="P74" s="125">
        <f t="shared" si="53"/>
        <v>2562.035355080352</v>
      </c>
    </row>
    <row r="75" spans="1:28" ht="16.5" thickBot="1" x14ac:dyDescent="0.3">
      <c r="A75" s="9"/>
      <c r="B75" s="118" t="s">
        <v>301</v>
      </c>
      <c r="C75" s="103">
        <f>-C14</f>
        <v>-700</v>
      </c>
      <c r="D75" s="103">
        <f t="shared" ref="D75:P75" si="54">-D14</f>
        <v>-750</v>
      </c>
      <c r="E75" s="103">
        <f t="shared" si="54"/>
        <v>-700</v>
      </c>
      <c r="F75" s="103">
        <f t="shared" si="54"/>
        <v>-630</v>
      </c>
      <c r="G75" s="103">
        <f t="shared" si="54"/>
        <v>-730</v>
      </c>
      <c r="H75" s="103">
        <f t="shared" si="54"/>
        <v>-980</v>
      </c>
      <c r="I75" s="103">
        <f t="shared" si="54"/>
        <v>-1010</v>
      </c>
      <c r="J75" s="103">
        <f t="shared" si="54"/>
        <v>-840</v>
      </c>
      <c r="K75" s="103">
        <f t="shared" si="54"/>
        <v>-790</v>
      </c>
      <c r="L75" s="103">
        <f t="shared" si="54"/>
        <v>-840</v>
      </c>
      <c r="M75" s="103">
        <f t="shared" si="54"/>
        <v>-787</v>
      </c>
      <c r="N75" s="103">
        <f t="shared" si="54"/>
        <v>-796.99999999999955</v>
      </c>
      <c r="O75" s="103">
        <f t="shared" si="54"/>
        <v>-807.09999999999945</v>
      </c>
      <c r="P75" s="103">
        <f t="shared" si="54"/>
        <v>-817.30099999999993</v>
      </c>
    </row>
    <row r="76" spans="1:28" ht="16.5" thickBot="1" x14ac:dyDescent="0.3">
      <c r="A76" s="126" t="s">
        <v>302</v>
      </c>
      <c r="B76" s="127" t="s">
        <v>303</v>
      </c>
      <c r="C76" s="128">
        <f t="shared" ref="C76:P76" si="55">+C74+C75</f>
        <v>1225.4468489469459</v>
      </c>
      <c r="D76" s="128">
        <f t="shared" si="55"/>
        <v>1225.4400467202784</v>
      </c>
      <c r="E76" s="128">
        <f t="shared" si="55"/>
        <v>1281.0724826442247</v>
      </c>
      <c r="F76" s="128">
        <f t="shared" si="55"/>
        <v>1339.2957513916526</v>
      </c>
      <c r="G76" s="128">
        <f t="shared" si="55"/>
        <v>1405.4440262387943</v>
      </c>
      <c r="H76" s="128">
        <f t="shared" si="55"/>
        <v>1505.7809078688142</v>
      </c>
      <c r="I76" s="128">
        <f t="shared" si="55"/>
        <v>1570.5555202413971</v>
      </c>
      <c r="J76" s="128">
        <f t="shared" si="55"/>
        <v>1631.7688891997086</v>
      </c>
      <c r="K76" s="128">
        <f t="shared" si="55"/>
        <v>1661.4621554813498</v>
      </c>
      <c r="L76" s="128">
        <f t="shared" si="55"/>
        <v>1677.8410675865389</v>
      </c>
      <c r="M76" s="128">
        <f t="shared" si="55"/>
        <v>1697.4194178475054</v>
      </c>
      <c r="N76" s="128">
        <f t="shared" si="55"/>
        <v>1713.0343933377026</v>
      </c>
      <c r="O76" s="128">
        <f t="shared" si="55"/>
        <v>1728.8055185827989</v>
      </c>
      <c r="P76" s="128">
        <f t="shared" si="55"/>
        <v>1744.7343550803521</v>
      </c>
    </row>
    <row r="77" spans="1:28" ht="16.5" thickBot="1" x14ac:dyDescent="0.3"/>
    <row r="78" spans="1:28" x14ac:dyDescent="0.25">
      <c r="A78" s="118"/>
      <c r="B78" s="118" t="s">
        <v>304</v>
      </c>
      <c r="C78" s="101">
        <v>0</v>
      </c>
      <c r="D78" s="101">
        <v>1</v>
      </c>
      <c r="E78" s="101">
        <f t="shared" ref="E78:M78" si="56">D78+1</f>
        <v>2</v>
      </c>
      <c r="F78" s="101">
        <f t="shared" si="56"/>
        <v>3</v>
      </c>
      <c r="G78" s="101">
        <f t="shared" si="56"/>
        <v>4</v>
      </c>
      <c r="H78" s="101">
        <f t="shared" si="56"/>
        <v>5</v>
      </c>
      <c r="I78" s="101">
        <f t="shared" si="56"/>
        <v>6</v>
      </c>
      <c r="J78" s="101">
        <f t="shared" si="56"/>
        <v>7</v>
      </c>
      <c r="K78" s="101">
        <f t="shared" si="56"/>
        <v>8</v>
      </c>
      <c r="L78" s="101">
        <f t="shared" si="56"/>
        <v>9</v>
      </c>
      <c r="M78" s="101">
        <f t="shared" si="56"/>
        <v>10</v>
      </c>
      <c r="N78" s="101">
        <f>M78+1</f>
        <v>11</v>
      </c>
      <c r="O78" s="101">
        <f t="shared" ref="O78:AA78" si="57">N78+1</f>
        <v>12</v>
      </c>
      <c r="P78" s="101">
        <f t="shared" si="57"/>
        <v>13</v>
      </c>
      <c r="Q78" s="101">
        <f t="shared" si="57"/>
        <v>14</v>
      </c>
      <c r="R78" s="101">
        <f t="shared" si="57"/>
        <v>15</v>
      </c>
      <c r="S78" s="101">
        <f t="shared" si="57"/>
        <v>16</v>
      </c>
      <c r="T78" s="101">
        <f t="shared" si="57"/>
        <v>17</v>
      </c>
      <c r="U78" s="101">
        <f t="shared" si="57"/>
        <v>18</v>
      </c>
      <c r="V78" s="101">
        <f t="shared" si="57"/>
        <v>19</v>
      </c>
      <c r="W78" s="101">
        <f t="shared" si="57"/>
        <v>20</v>
      </c>
      <c r="X78" s="101">
        <f t="shared" si="57"/>
        <v>21</v>
      </c>
      <c r="Y78" s="101">
        <f t="shared" si="57"/>
        <v>22</v>
      </c>
      <c r="Z78" s="101">
        <f t="shared" si="57"/>
        <v>23</v>
      </c>
      <c r="AA78" s="101">
        <f t="shared" si="57"/>
        <v>24</v>
      </c>
    </row>
    <row r="79" spans="1:28" x14ac:dyDescent="0.25">
      <c r="A79" s="118"/>
      <c r="B79" s="118" t="s">
        <v>305</v>
      </c>
      <c r="C79" s="119">
        <f t="shared" ref="C79:AA79" si="58">+C52</f>
        <v>0</v>
      </c>
      <c r="D79" s="119">
        <f t="shared" si="58"/>
        <v>138.5</v>
      </c>
      <c r="E79" s="119">
        <f t="shared" si="58"/>
        <v>186.5</v>
      </c>
      <c r="F79" s="119">
        <f t="shared" si="58"/>
        <v>206.5</v>
      </c>
      <c r="G79" s="119">
        <f t="shared" si="58"/>
        <v>30</v>
      </c>
      <c r="H79" s="119">
        <f t="shared" si="58"/>
        <v>-139.5</v>
      </c>
      <c r="I79" s="119">
        <f t="shared" si="58"/>
        <v>145.5</v>
      </c>
      <c r="J79" s="119">
        <f t="shared" si="58"/>
        <v>358.5</v>
      </c>
      <c r="K79" s="119">
        <f t="shared" si="58"/>
        <v>264.5</v>
      </c>
      <c r="L79" s="119">
        <f t="shared" si="58"/>
        <v>177.5</v>
      </c>
      <c r="M79" s="119">
        <f t="shared" si="58"/>
        <v>282.77499999999998</v>
      </c>
      <c r="N79" s="119">
        <f t="shared" si="58"/>
        <v>222.07275000000033</v>
      </c>
      <c r="O79" s="119">
        <f t="shared" si="58"/>
        <v>224.29347750000022</v>
      </c>
      <c r="P79" s="119">
        <f t="shared" si="58"/>
        <v>226.53641227500015</v>
      </c>
      <c r="Q79" s="119">
        <f t="shared" si="58"/>
        <v>228.80177639774993</v>
      </c>
      <c r="R79" s="119">
        <f t="shared" si="58"/>
        <v>231.08979416172772</v>
      </c>
      <c r="S79" s="119">
        <f t="shared" si="58"/>
        <v>233.40069210334502</v>
      </c>
      <c r="T79" s="119">
        <f t="shared" si="58"/>
        <v>235.7346990243785</v>
      </c>
      <c r="U79" s="119">
        <f t="shared" si="58"/>
        <v>238.0920460146221</v>
      </c>
      <c r="V79" s="119">
        <f t="shared" si="58"/>
        <v>240.47296647476773</v>
      </c>
      <c r="W79" s="119">
        <f t="shared" si="58"/>
        <v>242.87769613951616</v>
      </c>
      <c r="X79" s="119">
        <f t="shared" si="58"/>
        <v>245.30647310091089</v>
      </c>
      <c r="Y79" s="119">
        <f t="shared" si="58"/>
        <v>247.7595378319202</v>
      </c>
      <c r="Z79" s="119">
        <f t="shared" si="58"/>
        <v>250.23713321023888</v>
      </c>
      <c r="AA79" s="119">
        <f t="shared" si="58"/>
        <v>252.73950454234264</v>
      </c>
    </row>
    <row r="80" spans="1:28" x14ac:dyDescent="0.25">
      <c r="A80" s="118"/>
      <c r="B80" s="118" t="s">
        <v>278</v>
      </c>
      <c r="C80" s="120">
        <f t="shared" ref="C80:AA80" si="59">+C40</f>
        <v>0</v>
      </c>
      <c r="D80" s="120">
        <f t="shared" si="59"/>
        <v>9.8457748049120372E-2</v>
      </c>
      <c r="E80" s="120">
        <f t="shared" si="59"/>
        <v>9.600615619865327E-2</v>
      </c>
      <c r="F80" s="120">
        <f t="shared" si="59"/>
        <v>9.680686940049292E-2</v>
      </c>
      <c r="G80" s="120">
        <f t="shared" si="59"/>
        <v>0.10036945985258243</v>
      </c>
      <c r="H80" s="120">
        <f t="shared" si="59"/>
        <v>0.1009607323965796</v>
      </c>
      <c r="I80" s="120">
        <f t="shared" si="59"/>
        <v>9.6417694869840864E-2</v>
      </c>
      <c r="J80" s="120">
        <f t="shared" si="59"/>
        <v>9.4525754891563743E-2</v>
      </c>
      <c r="K80" s="120">
        <f t="shared" si="59"/>
        <v>9.7970193017132223E-2</v>
      </c>
      <c r="L80" s="120">
        <f t="shared" si="59"/>
        <v>9.9833032722505169E-2</v>
      </c>
      <c r="M80" s="120">
        <f t="shared" si="59"/>
        <v>9.8249047419085744E-2</v>
      </c>
      <c r="N80" s="120">
        <f t="shared" si="59"/>
        <v>9.9612504824166309E-2</v>
      </c>
      <c r="O80" s="120">
        <f t="shared" si="59"/>
        <v>9.9582769809080124E-2</v>
      </c>
      <c r="P80" s="120">
        <f t="shared" si="59"/>
        <v>9.9553346761545619E-2</v>
      </c>
      <c r="Q80" s="120">
        <f t="shared" si="59"/>
        <v>9.9553346761545619E-2</v>
      </c>
      <c r="R80" s="120">
        <f t="shared" si="59"/>
        <v>9.9553346761545619E-2</v>
      </c>
      <c r="S80" s="120">
        <f t="shared" si="59"/>
        <v>9.9553346761545619E-2</v>
      </c>
      <c r="T80" s="120">
        <f t="shared" si="59"/>
        <v>9.9553346761545619E-2</v>
      </c>
      <c r="U80" s="120">
        <f t="shared" si="59"/>
        <v>9.9553346761545619E-2</v>
      </c>
      <c r="V80" s="120">
        <f t="shared" si="59"/>
        <v>9.9553346761545619E-2</v>
      </c>
      <c r="W80" s="120">
        <f t="shared" si="59"/>
        <v>9.9553346761545619E-2</v>
      </c>
      <c r="X80" s="120">
        <f t="shared" si="59"/>
        <v>9.9553346761545619E-2</v>
      </c>
      <c r="Y80" s="120">
        <f t="shared" si="59"/>
        <v>9.9553346761545619E-2</v>
      </c>
      <c r="Z80" s="120">
        <f t="shared" si="59"/>
        <v>9.9553346761545619E-2</v>
      </c>
      <c r="AA80" s="120">
        <f t="shared" si="59"/>
        <v>0</v>
      </c>
      <c r="AB80" s="120"/>
    </row>
    <row r="81" spans="1:28" x14ac:dyDescent="0.25">
      <c r="A81" s="118"/>
      <c r="B81" s="118" t="s">
        <v>296</v>
      </c>
      <c r="C81" s="119">
        <f>1/(1+C80)^C78</f>
        <v>1</v>
      </c>
      <c r="D81" s="121">
        <f>+C81/(1+D80)</f>
        <v>0.91036728702220626</v>
      </c>
      <c r="E81" s="121">
        <f>+D81/(1+E80)</f>
        <v>0.83062242111822637</v>
      </c>
      <c r="F81" s="121">
        <f t="shared" ref="F81:AA81" si="60">+E81/(1+F80)</f>
        <v>0.75730964519965027</v>
      </c>
      <c r="G81" s="121">
        <f t="shared" si="60"/>
        <v>0.68823215549903372</v>
      </c>
      <c r="H81" s="121">
        <f t="shared" si="60"/>
        <v>0.62511962075239946</v>
      </c>
      <c r="I81" s="121">
        <f t="shared" si="60"/>
        <v>0.57014732950530256</v>
      </c>
      <c r="J81" s="121">
        <f t="shared" si="60"/>
        <v>0.52090809828571638</v>
      </c>
      <c r="K81" s="121">
        <f t="shared" si="60"/>
        <v>0.47442826918124581</v>
      </c>
      <c r="L81" s="121">
        <f t="shared" si="60"/>
        <v>0.43136390257969914</v>
      </c>
      <c r="M81" s="121">
        <f t="shared" si="60"/>
        <v>0.39277421054306005</v>
      </c>
      <c r="N81" s="121">
        <f t="shared" si="60"/>
        <v>0.3571932920186886</v>
      </c>
      <c r="O81" s="121">
        <f t="shared" si="60"/>
        <v>0.32484438809522986</v>
      </c>
      <c r="P81" s="121">
        <f t="shared" si="60"/>
        <v>0.29543304019943756</v>
      </c>
      <c r="Q81" s="121">
        <f t="shared" si="60"/>
        <v>0.26868459003790979</v>
      </c>
      <c r="R81" s="121">
        <f t="shared" si="60"/>
        <v>0.24435793936624522</v>
      </c>
      <c r="S81" s="121">
        <f t="shared" si="60"/>
        <v>0.22223381892833058</v>
      </c>
      <c r="T81" s="121">
        <f t="shared" si="60"/>
        <v>0.20211281206397461</v>
      </c>
      <c r="U81" s="121">
        <f t="shared" si="60"/>
        <v>0.18381355725872364</v>
      </c>
      <c r="V81" s="121">
        <f t="shared" si="60"/>
        <v>0.16717111343446833</v>
      </c>
      <c r="W81" s="121">
        <f t="shared" si="60"/>
        <v>0.15203547324632158</v>
      </c>
      <c r="X81" s="121">
        <f t="shared" si="60"/>
        <v>0.13827021098530903</v>
      </c>
      <c r="Y81" s="121">
        <f t="shared" si="60"/>
        <v>0.12575125289968761</v>
      </c>
      <c r="Z81" s="121">
        <f t="shared" si="60"/>
        <v>0.11436575885113341</v>
      </c>
      <c r="AA81" s="121">
        <f t="shared" si="60"/>
        <v>0.11436575885113341</v>
      </c>
    </row>
    <row r="82" spans="1:28" x14ac:dyDescent="0.25">
      <c r="A82" s="118"/>
      <c r="B82" s="118" t="s">
        <v>297</v>
      </c>
      <c r="C82" s="119">
        <f>+C79*C81</f>
        <v>0</v>
      </c>
      <c r="D82" s="119">
        <f>+D79*D81</f>
        <v>126.08586925257556</v>
      </c>
      <c r="E82" s="119">
        <f t="shared" ref="E82:AA82" si="61">+E79*E81</f>
        <v>154.91108153854921</v>
      </c>
      <c r="F82" s="119">
        <f t="shared" si="61"/>
        <v>156.38444173372778</v>
      </c>
      <c r="G82" s="119">
        <f t="shared" si="61"/>
        <v>20.646964664971012</v>
      </c>
      <c r="H82" s="119">
        <f t="shared" si="61"/>
        <v>-87.204187094959721</v>
      </c>
      <c r="I82" s="119">
        <f t="shared" si="61"/>
        <v>82.956436443021516</v>
      </c>
      <c r="J82" s="119">
        <f t="shared" si="61"/>
        <v>186.74555323542933</v>
      </c>
      <c r="K82" s="119">
        <f t="shared" si="61"/>
        <v>125.48627719843952</v>
      </c>
      <c r="L82" s="119">
        <f t="shared" si="61"/>
        <v>76.567092707896592</v>
      </c>
      <c r="M82" s="119">
        <f t="shared" si="61"/>
        <v>111.0667273863138</v>
      </c>
      <c r="N82" s="119">
        <f t="shared" si="61"/>
        <v>79.322896640143341</v>
      </c>
      <c r="O82" s="119">
        <f t="shared" si="61"/>
        <v>72.860477452238783</v>
      </c>
      <c r="P82" s="119">
        <f t="shared" si="61"/>
        <v>66.926340994276472</v>
      </c>
      <c r="Q82" s="119">
        <f t="shared" si="61"/>
        <v>61.475511491374945</v>
      </c>
      <c r="R82" s="119">
        <f t="shared" si="61"/>
        <v>56.46862590992955</v>
      </c>
      <c r="S82" s="119">
        <f t="shared" si="61"/>
        <v>51.869527146641815</v>
      </c>
      <c r="T82" s="119">
        <f t="shared" si="61"/>
        <v>47.645002920871832</v>
      </c>
      <c r="U82" s="119">
        <f t="shared" si="61"/>
        <v>43.7645459329554</v>
      </c>
      <c r="V82" s="119">
        <f t="shared" si="61"/>
        <v>40.200133556476494</v>
      </c>
      <c r="W82" s="119">
        <f t="shared" si="61"/>
        <v>36.926025473547632</v>
      </c>
      <c r="X82" s="119">
        <f t="shared" si="61"/>
        <v>33.918577791724985</v>
      </c>
      <c r="Y82" s="119">
        <f t="shared" si="61"/>
        <v>31.156072300211516</v>
      </c>
      <c r="Z82" s="119">
        <f t="shared" si="61"/>
        <v>28.618559632321126</v>
      </c>
      <c r="AA82" s="119">
        <f t="shared" si="61"/>
        <v>28.904745228644497</v>
      </c>
    </row>
    <row r="83" spans="1:28" x14ac:dyDescent="0.25">
      <c r="A83" s="118"/>
      <c r="B83" s="118" t="s">
        <v>306</v>
      </c>
      <c r="C83" s="123">
        <f>+SUM(D82:M82)</f>
        <v>953.64625706596462</v>
      </c>
      <c r="D83" s="123">
        <f>+SUM(E82:N82)/D81</f>
        <v>996.17297038421714</v>
      </c>
      <c r="E83" s="123">
        <f t="shared" ref="E83:M83" si="62">+SUM(F82:O82)/E81</f>
        <v>993.02963584439476</v>
      </c>
      <c r="F83" s="123">
        <f t="shared" si="62"/>
        <v>971.03553914713848</v>
      </c>
      <c r="G83" s="123">
        <f t="shared" si="62"/>
        <v>1127.821651825253</v>
      </c>
      <c r="H83" s="123">
        <f t="shared" si="62"/>
        <v>1471.5198642331736</v>
      </c>
      <c r="I83" s="123">
        <f t="shared" si="62"/>
        <v>1558.8760731964771</v>
      </c>
      <c r="J83" s="123">
        <f t="shared" si="62"/>
        <v>1439.1952866836116</v>
      </c>
      <c r="K83" s="123">
        <f t="shared" si="62"/>
        <v>1407.9404453183186</v>
      </c>
      <c r="L83" s="123">
        <f t="shared" si="62"/>
        <v>1464.192496530299</v>
      </c>
      <c r="M83" s="123">
        <f t="shared" si="62"/>
        <v>1419.2863802022505</v>
      </c>
      <c r="N83" s="119"/>
    </row>
    <row r="84" spans="1:28" ht="16.5" thickBot="1" x14ac:dyDescent="0.3">
      <c r="A84" s="118"/>
      <c r="B84" s="118" t="s">
        <v>307</v>
      </c>
      <c r="C84" s="123">
        <f>+N79/(N80-N$29)*M81</f>
        <v>973.35131113145894</v>
      </c>
      <c r="D84" s="123">
        <f t="shared" ref="D84:M84" si="63">+O79/(O80-O$29)*N81/D81</f>
        <v>982.37840941669003</v>
      </c>
      <c r="E84" s="123">
        <f t="shared" si="63"/>
        <v>989.29978772477477</v>
      </c>
      <c r="F84" s="123">
        <f t="shared" si="63"/>
        <v>996.69699003824485</v>
      </c>
      <c r="G84" s="123">
        <f t="shared" si="63"/>
        <v>1007.4111284488246</v>
      </c>
      <c r="H84" s="123">
        <f t="shared" si="63"/>
        <v>1018.7875813745593</v>
      </c>
      <c r="I84" s="123">
        <f t="shared" si="63"/>
        <v>1026.0410758339551</v>
      </c>
      <c r="J84" s="123">
        <f t="shared" si="63"/>
        <v>1031.5631071910698</v>
      </c>
      <c r="K84" s="123">
        <f t="shared" si="63"/>
        <v>1040.3786253029618</v>
      </c>
      <c r="L84" s="123">
        <f t="shared" si="63"/>
        <v>1051.0496919834529</v>
      </c>
      <c r="M84" s="123">
        <f t="shared" si="63"/>
        <v>1060.3009573612726</v>
      </c>
      <c r="N84" s="119"/>
    </row>
    <row r="85" spans="1:28" ht="16.5" thickBot="1" x14ac:dyDescent="0.3">
      <c r="A85" s="9"/>
      <c r="B85" s="129" t="s">
        <v>300</v>
      </c>
      <c r="C85" s="125">
        <f>+C83+C84</f>
        <v>1926.9975681974236</v>
      </c>
      <c r="D85" s="125">
        <f t="shared" ref="D85:M85" si="64">+D83+D84</f>
        <v>1978.5513798009072</v>
      </c>
      <c r="E85" s="125">
        <f t="shared" si="64"/>
        <v>1982.3294235691696</v>
      </c>
      <c r="F85" s="125">
        <f t="shared" si="64"/>
        <v>1967.7325291853833</v>
      </c>
      <c r="G85" s="125">
        <f t="shared" si="64"/>
        <v>2135.2327802740774</v>
      </c>
      <c r="H85" s="125">
        <f t="shared" si="64"/>
        <v>2490.3074456077329</v>
      </c>
      <c r="I85" s="125">
        <f t="shared" si="64"/>
        <v>2584.9171490304325</v>
      </c>
      <c r="J85" s="125">
        <f t="shared" si="64"/>
        <v>2470.7583938746811</v>
      </c>
      <c r="K85" s="125">
        <f t="shared" si="64"/>
        <v>2448.3190706212804</v>
      </c>
      <c r="L85" s="125">
        <f t="shared" si="64"/>
        <v>2515.2421885137519</v>
      </c>
      <c r="M85" s="125">
        <f t="shared" si="64"/>
        <v>2479.5873375635229</v>
      </c>
      <c r="N85" s="9"/>
    </row>
    <row r="86" spans="1:28" ht="16.5" thickBot="1" x14ac:dyDescent="0.3">
      <c r="A86" s="9"/>
      <c r="B86" s="118" t="s">
        <v>301</v>
      </c>
      <c r="C86" s="103">
        <f t="shared" ref="C86:M86" si="65">-C14</f>
        <v>-700</v>
      </c>
      <c r="D86" s="103">
        <f t="shared" si="65"/>
        <v>-750</v>
      </c>
      <c r="E86" s="103">
        <f t="shared" si="65"/>
        <v>-700</v>
      </c>
      <c r="F86" s="103">
        <f t="shared" si="65"/>
        <v>-630</v>
      </c>
      <c r="G86" s="103">
        <f t="shared" si="65"/>
        <v>-730</v>
      </c>
      <c r="H86" s="103">
        <f t="shared" si="65"/>
        <v>-980</v>
      </c>
      <c r="I86" s="103">
        <f t="shared" si="65"/>
        <v>-1010</v>
      </c>
      <c r="J86" s="103">
        <f t="shared" si="65"/>
        <v>-840</v>
      </c>
      <c r="K86" s="103">
        <f t="shared" si="65"/>
        <v>-790</v>
      </c>
      <c r="L86" s="103">
        <f t="shared" si="65"/>
        <v>-840</v>
      </c>
      <c r="M86" s="103">
        <f t="shared" si="65"/>
        <v>-787</v>
      </c>
      <c r="N86" s="9"/>
    </row>
    <row r="87" spans="1:28" ht="16.5" thickBot="1" x14ac:dyDescent="0.3">
      <c r="A87" s="126" t="s">
        <v>308</v>
      </c>
      <c r="B87" s="127" t="s">
        <v>303</v>
      </c>
      <c r="C87" s="128">
        <f t="shared" ref="C87:M87" si="66">+C85+C86</f>
        <v>1226.9975681974236</v>
      </c>
      <c r="D87" s="128">
        <f t="shared" si="66"/>
        <v>1228.5513798009072</v>
      </c>
      <c r="E87" s="128">
        <f t="shared" si="66"/>
        <v>1282.3294235691696</v>
      </c>
      <c r="F87" s="128">
        <f t="shared" si="66"/>
        <v>1337.7325291853833</v>
      </c>
      <c r="G87" s="128">
        <f t="shared" si="66"/>
        <v>1405.2327802740774</v>
      </c>
      <c r="H87" s="128">
        <f t="shared" si="66"/>
        <v>1510.3074456077329</v>
      </c>
      <c r="I87" s="128">
        <f t="shared" si="66"/>
        <v>1574.9171490304325</v>
      </c>
      <c r="J87" s="128">
        <f t="shared" si="66"/>
        <v>1630.7583938746811</v>
      </c>
      <c r="K87" s="128">
        <f t="shared" si="66"/>
        <v>1658.3190706212804</v>
      </c>
      <c r="L87" s="128">
        <f t="shared" si="66"/>
        <v>1675.2421885137519</v>
      </c>
      <c r="M87" s="128">
        <f t="shared" si="66"/>
        <v>1692.5873375635229</v>
      </c>
      <c r="N87" s="9"/>
    </row>
    <row r="88" spans="1:28" ht="16.5" thickBot="1" x14ac:dyDescent="0.3"/>
    <row r="89" spans="1:28" x14ac:dyDescent="0.25">
      <c r="A89" s="118"/>
      <c r="B89" s="118" t="s">
        <v>309</v>
      </c>
      <c r="C89" s="101">
        <v>0</v>
      </c>
      <c r="D89" s="101">
        <v>1</v>
      </c>
      <c r="E89" s="101">
        <f t="shared" ref="E89:M89" si="67">D89+1</f>
        <v>2</v>
      </c>
      <c r="F89" s="101">
        <f t="shared" si="67"/>
        <v>3</v>
      </c>
      <c r="G89" s="101">
        <f t="shared" si="67"/>
        <v>4</v>
      </c>
      <c r="H89" s="101">
        <f t="shared" si="67"/>
        <v>5</v>
      </c>
      <c r="I89" s="101">
        <f t="shared" si="67"/>
        <v>6</v>
      </c>
      <c r="J89" s="101">
        <f t="shared" si="67"/>
        <v>7</v>
      </c>
      <c r="K89" s="101">
        <f t="shared" si="67"/>
        <v>8</v>
      </c>
      <c r="L89" s="101">
        <f t="shared" si="67"/>
        <v>9</v>
      </c>
      <c r="M89" s="101">
        <f t="shared" si="67"/>
        <v>10</v>
      </c>
      <c r="N89" s="101">
        <f>M89+1</f>
        <v>11</v>
      </c>
      <c r="O89" s="101">
        <f t="shared" ref="O89:AA89" si="68">N89+1</f>
        <v>12</v>
      </c>
      <c r="P89" s="101">
        <f t="shared" si="68"/>
        <v>13</v>
      </c>
      <c r="Q89" s="101">
        <f t="shared" si="68"/>
        <v>14</v>
      </c>
      <c r="R89" s="101">
        <f t="shared" si="68"/>
        <v>15</v>
      </c>
      <c r="S89" s="101">
        <f t="shared" si="68"/>
        <v>16</v>
      </c>
      <c r="T89" s="101">
        <f t="shared" si="68"/>
        <v>17</v>
      </c>
      <c r="U89" s="101">
        <f t="shared" si="68"/>
        <v>18</v>
      </c>
      <c r="V89" s="101">
        <f t="shared" si="68"/>
        <v>19</v>
      </c>
      <c r="W89" s="101">
        <f t="shared" si="68"/>
        <v>20</v>
      </c>
      <c r="X89" s="101">
        <f t="shared" si="68"/>
        <v>21</v>
      </c>
      <c r="Y89" s="101">
        <f t="shared" si="68"/>
        <v>22</v>
      </c>
      <c r="Z89" s="101">
        <f t="shared" si="68"/>
        <v>23</v>
      </c>
      <c r="AA89" s="101">
        <f t="shared" si="68"/>
        <v>24</v>
      </c>
    </row>
    <row r="90" spans="1:28" x14ac:dyDescent="0.25">
      <c r="A90" s="118"/>
      <c r="B90" s="118" t="s">
        <v>310</v>
      </c>
      <c r="C90" s="130">
        <f t="shared" ref="C90:AA90" si="69">+C64</f>
        <v>0</v>
      </c>
      <c r="D90" s="119">
        <f t="shared" si="69"/>
        <v>156.26249999999999</v>
      </c>
      <c r="E90" s="119">
        <f t="shared" si="69"/>
        <v>204.26249999999999</v>
      </c>
      <c r="F90" s="119">
        <f t="shared" si="69"/>
        <v>222.79250000000002</v>
      </c>
      <c r="G90" s="119">
        <f t="shared" si="69"/>
        <v>46.660000000000004</v>
      </c>
      <c r="H90" s="119">
        <f t="shared" si="69"/>
        <v>-118.55250000000002</v>
      </c>
      <c r="I90" s="119">
        <f t="shared" si="69"/>
        <v>169.87750000000003</v>
      </c>
      <c r="J90" s="119">
        <f t="shared" si="69"/>
        <v>381.16250000000002</v>
      </c>
      <c r="K90" s="119">
        <f t="shared" si="69"/>
        <v>284.46750000000003</v>
      </c>
      <c r="L90" s="119">
        <f t="shared" si="69"/>
        <v>197.46750000000003</v>
      </c>
      <c r="M90" s="119">
        <f t="shared" si="69"/>
        <v>302.70575000000002</v>
      </c>
      <c r="N90" s="119">
        <f t="shared" si="69"/>
        <v>242.20280750000035</v>
      </c>
      <c r="O90" s="119">
        <f t="shared" si="69"/>
        <v>244.62483557500025</v>
      </c>
      <c r="P90" s="119">
        <f t="shared" si="69"/>
        <v>247.07108393075012</v>
      </c>
      <c r="Q90" s="119">
        <f t="shared" si="69"/>
        <v>249.54179477005749</v>
      </c>
      <c r="R90" s="119">
        <f t="shared" si="69"/>
        <v>252.03721271775842</v>
      </c>
      <c r="S90" s="119">
        <f t="shared" si="69"/>
        <v>254.55758484493586</v>
      </c>
      <c r="T90" s="119">
        <f t="shared" si="69"/>
        <v>257.10316069338529</v>
      </c>
      <c r="U90" s="119">
        <f t="shared" si="69"/>
        <v>259.67419230031891</v>
      </c>
      <c r="V90" s="119">
        <f t="shared" si="69"/>
        <v>262.27093422332166</v>
      </c>
      <c r="W90" s="119">
        <f t="shared" si="69"/>
        <v>264.89364356555558</v>
      </c>
      <c r="X90" s="119">
        <f t="shared" si="69"/>
        <v>267.54258000121064</v>
      </c>
      <c r="Y90" s="119">
        <f t="shared" si="69"/>
        <v>270.21800580122294</v>
      </c>
      <c r="Z90" s="119">
        <f t="shared" si="69"/>
        <v>272.92018585923461</v>
      </c>
      <c r="AA90" s="119">
        <f t="shared" si="69"/>
        <v>275.6493877178284</v>
      </c>
    </row>
    <row r="91" spans="1:28" x14ac:dyDescent="0.25">
      <c r="A91" s="118"/>
      <c r="B91" s="118" t="s">
        <v>311</v>
      </c>
      <c r="C91" s="120"/>
      <c r="D91" s="120">
        <f t="shared" ref="D91:AA91" si="70">+D41</f>
        <v>0.10736477137691547</v>
      </c>
      <c r="E91" s="120">
        <f t="shared" si="70"/>
        <v>0.10530788116393737</v>
      </c>
      <c r="F91" s="120">
        <f t="shared" si="70"/>
        <v>0.10546379646916289</v>
      </c>
      <c r="G91" s="120">
        <f t="shared" si="70"/>
        <v>0.10820728715155084</v>
      </c>
      <c r="H91" s="120">
        <f t="shared" si="70"/>
        <v>0.1093360397238811</v>
      </c>
      <c r="I91" s="120">
        <f t="shared" si="70"/>
        <v>0.10607663139316664</v>
      </c>
      <c r="J91" s="120">
        <f t="shared" si="70"/>
        <v>0.10411477547488576</v>
      </c>
      <c r="K91" s="120">
        <f t="shared" si="70"/>
        <v>0.10629621414715107</v>
      </c>
      <c r="L91" s="120">
        <f t="shared" si="70"/>
        <v>0.10772832082912479</v>
      </c>
      <c r="M91" s="120">
        <f t="shared" si="70"/>
        <v>0.10642271662519129</v>
      </c>
      <c r="N91" s="120">
        <f t="shared" si="70"/>
        <v>0.10737347298497123</v>
      </c>
      <c r="O91" s="120">
        <f t="shared" si="70"/>
        <v>0.10736214528370649</v>
      </c>
      <c r="P91" s="120">
        <f t="shared" si="70"/>
        <v>0.10735093616505414</v>
      </c>
      <c r="Q91" s="120">
        <f t="shared" si="70"/>
        <v>0.10735093616505414</v>
      </c>
      <c r="R91" s="120">
        <f t="shared" si="70"/>
        <v>0.10735093616505414</v>
      </c>
      <c r="S91" s="120">
        <f t="shared" si="70"/>
        <v>0.10735093616505414</v>
      </c>
      <c r="T91" s="120">
        <f t="shared" si="70"/>
        <v>0.10735093616505414</v>
      </c>
      <c r="U91" s="120">
        <f t="shared" si="70"/>
        <v>0.10735093616505414</v>
      </c>
      <c r="V91" s="120">
        <f t="shared" si="70"/>
        <v>0.10735093616505414</v>
      </c>
      <c r="W91" s="120">
        <f t="shared" si="70"/>
        <v>0.10735093616505414</v>
      </c>
      <c r="X91" s="120">
        <f t="shared" si="70"/>
        <v>0.10735093616505414</v>
      </c>
      <c r="Y91" s="120">
        <f t="shared" si="70"/>
        <v>0.10735093616505414</v>
      </c>
      <c r="Z91" s="120">
        <f t="shared" si="70"/>
        <v>0.10735093616505414</v>
      </c>
      <c r="AA91" s="120">
        <f t="shared" si="70"/>
        <v>0</v>
      </c>
      <c r="AB91" s="120"/>
    </row>
    <row r="92" spans="1:28" x14ac:dyDescent="0.25">
      <c r="A92" s="118"/>
      <c r="B92" s="118" t="s">
        <v>312</v>
      </c>
      <c r="C92" s="119">
        <f>1/(1+C91)^C89</f>
        <v>1</v>
      </c>
      <c r="D92" s="121">
        <f>+C92/(1+D91)</f>
        <v>0.90304480135898102</v>
      </c>
      <c r="E92" s="121">
        <f>+D92/(1+E91)</f>
        <v>0.81700747524575279</v>
      </c>
      <c r="F92" s="121">
        <f t="shared" ref="F92:AA92" si="71">+E92/(1+F91)</f>
        <v>0.73906307728508536</v>
      </c>
      <c r="G92" s="121">
        <f t="shared" si="71"/>
        <v>0.66689967288043661</v>
      </c>
      <c r="H92" s="121">
        <f t="shared" si="71"/>
        <v>0.60117011347294824</v>
      </c>
      <c r="I92" s="121">
        <f t="shared" si="71"/>
        <v>0.54351578942205858</v>
      </c>
      <c r="J92" s="121">
        <f t="shared" si="71"/>
        <v>0.49226384927988082</v>
      </c>
      <c r="K92" s="121">
        <f t="shared" si="71"/>
        <v>0.4449656818715314</v>
      </c>
      <c r="L92" s="121">
        <f t="shared" si="71"/>
        <v>0.40169206971117116</v>
      </c>
      <c r="M92" s="121">
        <f t="shared" si="71"/>
        <v>0.36305479241822841</v>
      </c>
      <c r="N92" s="121">
        <f t="shared" si="71"/>
        <v>0.32785216665846179</v>
      </c>
      <c r="O92" s="121">
        <f t="shared" si="71"/>
        <v>0.29606589682950191</v>
      </c>
      <c r="P92" s="121">
        <f t="shared" si="71"/>
        <v>0.26736410938959315</v>
      </c>
      <c r="Q92" s="121">
        <f t="shared" si="71"/>
        <v>0.24144478562100721</v>
      </c>
      <c r="R92" s="121">
        <f t="shared" si="71"/>
        <v>0.21803818259925062</v>
      </c>
      <c r="S92" s="121">
        <f t="shared" si="71"/>
        <v>0.19690070733525017</v>
      </c>
      <c r="T92" s="121">
        <f t="shared" si="71"/>
        <v>0.17781238169820943</v>
      </c>
      <c r="U92" s="121">
        <f t="shared" si="71"/>
        <v>0.16057455309877114</v>
      </c>
      <c r="V92" s="121">
        <f t="shared" si="71"/>
        <v>0.14500782710751869</v>
      </c>
      <c r="W92" s="121">
        <f t="shared" si="71"/>
        <v>0.13095020049353606</v>
      </c>
      <c r="X92" s="121">
        <f t="shared" si="71"/>
        <v>0.11825537525352083</v>
      </c>
      <c r="Y92" s="121">
        <f t="shared" si="71"/>
        <v>0.10679123608551723</v>
      </c>
      <c r="Z92" s="121">
        <f t="shared" si="71"/>
        <v>9.6438475462307868E-2</v>
      </c>
      <c r="AA92" s="121">
        <f t="shared" si="71"/>
        <v>9.6438475462307868E-2</v>
      </c>
    </row>
    <row r="93" spans="1:28" x14ac:dyDescent="0.25">
      <c r="A93" s="118"/>
      <c r="B93" s="118" t="s">
        <v>313</v>
      </c>
      <c r="C93" s="119">
        <f>+C90*C92</f>
        <v>0</v>
      </c>
      <c r="D93" s="119">
        <f>+D90*D92</f>
        <v>141.11203827235775</v>
      </c>
      <c r="E93" s="119">
        <f t="shared" ref="E93:AA93" si="72">+E90*E92</f>
        <v>166.88398941238557</v>
      </c>
      <c r="F93" s="119">
        <f t="shared" si="72"/>
        <v>164.6577106460374</v>
      </c>
      <c r="G93" s="119">
        <f t="shared" si="72"/>
        <v>31.117538736601176</v>
      </c>
      <c r="H93" s="119">
        <f t="shared" si="72"/>
        <v>-71.270219877501717</v>
      </c>
      <c r="I93" s="119">
        <f t="shared" si="72"/>
        <v>92.33110351754577</v>
      </c>
      <c r="J93" s="119">
        <f t="shared" si="72"/>
        <v>187.63251945114257</v>
      </c>
      <c r="K93" s="119">
        <f t="shared" si="72"/>
        <v>126.57827510778988</v>
      </c>
      <c r="L93" s="119">
        <f t="shared" si="72"/>
        <v>79.32112877569071</v>
      </c>
      <c r="M93" s="119">
        <f t="shared" si="72"/>
        <v>109.89877323005415</v>
      </c>
      <c r="N93" s="119">
        <f t="shared" si="72"/>
        <v>79.406715209637454</v>
      </c>
      <c r="O93" s="119">
        <f t="shared" si="72"/>
        <v>72.425071331281885</v>
      </c>
      <c r="P93" s="119">
        <f t="shared" si="72"/>
        <v>66.057940311066432</v>
      </c>
      <c r="Q93" s="119">
        <f t="shared" si="72"/>
        <v>60.250565141737908</v>
      </c>
      <c r="R93" s="119">
        <f t="shared" si="72"/>
        <v>54.953735808360783</v>
      </c>
      <c r="S93" s="119">
        <f t="shared" si="72"/>
        <v>50.122568513520832</v>
      </c>
      <c r="T93" s="119">
        <f t="shared" si="72"/>
        <v>45.716125345028303</v>
      </c>
      <c r="U93" s="119">
        <f t="shared" si="72"/>
        <v>41.697067379908063</v>
      </c>
      <c r="V93" s="119">
        <f t="shared" si="72"/>
        <v>38.031338285182834</v>
      </c>
      <c r="W93" s="119">
        <f t="shared" si="72"/>
        <v>34.687875734372781</v>
      </c>
      <c r="X93" s="119">
        <f t="shared" si="72"/>
        <v>31.638348194338281</v>
      </c>
      <c r="Y93" s="119">
        <f t="shared" si="72"/>
        <v>28.856914852076063</v>
      </c>
      <c r="Z93" s="119">
        <f t="shared" si="72"/>
        <v>26.320006647154301</v>
      </c>
      <c r="AA93" s="119">
        <f t="shared" si="72"/>
        <v>26.583206713625984</v>
      </c>
    </row>
    <row r="94" spans="1:28" x14ac:dyDescent="0.25">
      <c r="A94" s="118"/>
      <c r="B94" s="118" t="s">
        <v>314</v>
      </c>
      <c r="C94" s="123">
        <f>+SUM(D93:M93)</f>
        <v>1028.2628572721032</v>
      </c>
      <c r="D94" s="123">
        <f>+SUM(E93:N93)/D92</f>
        <v>1070.3317628924085</v>
      </c>
      <c r="E94" s="123">
        <f t="shared" ref="E94:P94" si="73">+SUM(F93:O93)/E92</f>
        <v>1067.4304000290272</v>
      </c>
      <c r="F94" s="123">
        <f t="shared" si="73"/>
        <v>1046.5938152866752</v>
      </c>
      <c r="G94" s="123">
        <f t="shared" si="73"/>
        <v>1203.5271643360707</v>
      </c>
      <c r="H94" s="123">
        <f t="shared" si="73"/>
        <v>1545.0798485612086</v>
      </c>
      <c r="I94" s="123">
        <f t="shared" si="73"/>
        <v>1631.3183722281351</v>
      </c>
      <c r="J94" s="123">
        <f t="shared" si="73"/>
        <v>1512.8693684568032</v>
      </c>
      <c r="K94" s="123">
        <f t="shared" si="73"/>
        <v>1482.9226565764584</v>
      </c>
      <c r="L94" s="123">
        <f t="shared" si="73"/>
        <v>1539.8857662301923</v>
      </c>
      <c r="M94" s="123">
        <f t="shared" si="73"/>
        <v>1496.6033072886012</v>
      </c>
      <c r="N94" s="123">
        <f t="shared" si="73"/>
        <v>1511.5978677092792</v>
      </c>
      <c r="O94" s="123">
        <f t="shared" si="73"/>
        <v>1526.7293004904805</v>
      </c>
      <c r="P94" s="123">
        <f t="shared" si="73"/>
        <v>1541.9965934953848</v>
      </c>
    </row>
    <row r="95" spans="1:28" ht="16.5" thickBot="1" x14ac:dyDescent="0.3">
      <c r="A95" s="118"/>
      <c r="B95" s="118" t="s">
        <v>315</v>
      </c>
      <c r="C95" s="123">
        <f>+N90/(N91-N$29)*M92</f>
        <v>903.04769157814121</v>
      </c>
      <c r="D95" s="123">
        <f t="shared" ref="D95:P95" si="74">+O90/(O91-O$29)*N92/D92</f>
        <v>912.17711735357238</v>
      </c>
      <c r="E95" s="123">
        <f t="shared" si="74"/>
        <v>919.69567259833173</v>
      </c>
      <c r="F95" s="123">
        <f t="shared" si="74"/>
        <v>927.30961702282207</v>
      </c>
      <c r="G95" s="123">
        <f t="shared" si="74"/>
        <v>937.30700348277321</v>
      </c>
      <c r="H95" s="123">
        <f t="shared" si="74"/>
        <v>948.37714887251775</v>
      </c>
      <c r="I95" s="123">
        <f t="shared" si="74"/>
        <v>956.75864401708066</v>
      </c>
      <c r="J95" s="123">
        <f t="shared" si="74"/>
        <v>963.50220524649444</v>
      </c>
      <c r="K95" s="123">
        <f t="shared" si="74"/>
        <v>972.21034023312131</v>
      </c>
      <c r="L95" s="123">
        <f t="shared" si="74"/>
        <v>982.26708573786289</v>
      </c>
      <c r="M95" s="123">
        <f t="shared" si="74"/>
        <v>991.25815292986624</v>
      </c>
      <c r="N95" s="123">
        <f t="shared" si="74"/>
        <v>1001.1911102983074</v>
      </c>
      <c r="O95" s="123">
        <f t="shared" si="74"/>
        <v>1011.2132572662507</v>
      </c>
      <c r="P95" s="123">
        <f t="shared" si="74"/>
        <v>-9942.6982829957597</v>
      </c>
    </row>
    <row r="96" spans="1:28" ht="16.5" thickBot="1" x14ac:dyDescent="0.3">
      <c r="A96" s="9"/>
      <c r="B96" s="129" t="s">
        <v>300</v>
      </c>
      <c r="C96" s="125">
        <f>+C94+C95</f>
        <v>1931.3105488502445</v>
      </c>
      <c r="D96" s="125">
        <f t="shared" ref="D96:P96" si="75">+D94+D95</f>
        <v>1982.5088802459809</v>
      </c>
      <c r="E96" s="125">
        <f t="shared" si="75"/>
        <v>1987.126072627359</v>
      </c>
      <c r="F96" s="125">
        <f t="shared" si="75"/>
        <v>1973.9034323094972</v>
      </c>
      <c r="G96" s="125">
        <f t="shared" si="75"/>
        <v>2140.834167818844</v>
      </c>
      <c r="H96" s="125">
        <f t="shared" si="75"/>
        <v>2493.4569974337264</v>
      </c>
      <c r="I96" s="125">
        <f t="shared" si="75"/>
        <v>2588.0770162452159</v>
      </c>
      <c r="J96" s="125">
        <f t="shared" si="75"/>
        <v>2476.3715737032976</v>
      </c>
      <c r="K96" s="125">
        <f t="shared" si="75"/>
        <v>2455.1329968095797</v>
      </c>
      <c r="L96" s="125">
        <f t="shared" si="75"/>
        <v>2522.1528519680551</v>
      </c>
      <c r="M96" s="125">
        <f t="shared" si="75"/>
        <v>2487.8614602184675</v>
      </c>
      <c r="N96" s="125">
        <f t="shared" si="75"/>
        <v>2512.7889780075866</v>
      </c>
      <c r="O96" s="125">
        <f t="shared" si="75"/>
        <v>2537.9425577567313</v>
      </c>
      <c r="P96" s="125">
        <f t="shared" si="75"/>
        <v>-8400.7016895003744</v>
      </c>
    </row>
    <row r="97" spans="1:28" ht="16.5" thickBot="1" x14ac:dyDescent="0.3">
      <c r="A97" s="9"/>
      <c r="B97" s="118" t="s">
        <v>301</v>
      </c>
      <c r="C97" s="103">
        <f t="shared" ref="C97:P97" si="76">-C14</f>
        <v>-700</v>
      </c>
      <c r="D97" s="103">
        <f t="shared" si="76"/>
        <v>-750</v>
      </c>
      <c r="E97" s="103">
        <f t="shared" si="76"/>
        <v>-700</v>
      </c>
      <c r="F97" s="103">
        <f t="shared" si="76"/>
        <v>-630</v>
      </c>
      <c r="G97" s="103">
        <f t="shared" si="76"/>
        <v>-730</v>
      </c>
      <c r="H97" s="103">
        <f t="shared" si="76"/>
        <v>-980</v>
      </c>
      <c r="I97" s="103">
        <f t="shared" si="76"/>
        <v>-1010</v>
      </c>
      <c r="J97" s="103">
        <f t="shared" si="76"/>
        <v>-840</v>
      </c>
      <c r="K97" s="103">
        <f t="shared" si="76"/>
        <v>-790</v>
      </c>
      <c r="L97" s="103">
        <f t="shared" si="76"/>
        <v>-840</v>
      </c>
      <c r="M97" s="103">
        <f t="shared" si="76"/>
        <v>-787</v>
      </c>
      <c r="N97" s="103">
        <f t="shared" si="76"/>
        <v>-796.99999999999955</v>
      </c>
      <c r="O97" s="103">
        <f t="shared" si="76"/>
        <v>-807.09999999999945</v>
      </c>
      <c r="P97" s="103">
        <f t="shared" si="76"/>
        <v>-817.30099999999993</v>
      </c>
    </row>
    <row r="98" spans="1:28" ht="16.5" thickBot="1" x14ac:dyDescent="0.3">
      <c r="A98" s="126" t="s">
        <v>316</v>
      </c>
      <c r="B98" s="127" t="s">
        <v>303</v>
      </c>
      <c r="C98" s="128">
        <f t="shared" ref="C98:P98" si="77">+C96+C97</f>
        <v>1231.3105488502445</v>
      </c>
      <c r="D98" s="128">
        <f t="shared" si="77"/>
        <v>1232.5088802459809</v>
      </c>
      <c r="E98" s="128">
        <f t="shared" si="77"/>
        <v>1287.126072627359</v>
      </c>
      <c r="F98" s="128">
        <f t="shared" si="77"/>
        <v>1343.9034323094972</v>
      </c>
      <c r="G98" s="128">
        <f t="shared" si="77"/>
        <v>1410.834167818844</v>
      </c>
      <c r="H98" s="128">
        <f t="shared" si="77"/>
        <v>1513.4569974337264</v>
      </c>
      <c r="I98" s="128">
        <f t="shared" si="77"/>
        <v>1578.0770162452159</v>
      </c>
      <c r="J98" s="128">
        <f t="shared" si="77"/>
        <v>1636.3715737032976</v>
      </c>
      <c r="K98" s="128">
        <f t="shared" si="77"/>
        <v>1665.1329968095797</v>
      </c>
      <c r="L98" s="128">
        <f t="shared" si="77"/>
        <v>1682.1528519680551</v>
      </c>
      <c r="M98" s="128">
        <f t="shared" si="77"/>
        <v>1700.8614602184675</v>
      </c>
      <c r="N98" s="128">
        <f t="shared" si="77"/>
        <v>1715.788978007587</v>
      </c>
      <c r="O98" s="128">
        <f t="shared" si="77"/>
        <v>1730.8425577567318</v>
      </c>
      <c r="P98" s="128">
        <f t="shared" si="77"/>
        <v>-9218.0026895003739</v>
      </c>
    </row>
    <row r="99" spans="1:28" ht="16.5" thickBot="1" x14ac:dyDescent="0.3"/>
    <row r="100" spans="1:28" x14ac:dyDescent="0.25">
      <c r="A100" s="118"/>
      <c r="B100" s="118" t="s">
        <v>317</v>
      </c>
      <c r="C100" s="101">
        <v>0</v>
      </c>
      <c r="D100" s="101">
        <v>1</v>
      </c>
      <c r="E100" s="101">
        <f t="shared" ref="E100:M100" si="78">D100+1</f>
        <v>2</v>
      </c>
      <c r="F100" s="101">
        <f t="shared" si="78"/>
        <v>3</v>
      </c>
      <c r="G100" s="101">
        <f t="shared" si="78"/>
        <v>4</v>
      </c>
      <c r="H100" s="101">
        <f t="shared" si="78"/>
        <v>5</v>
      </c>
      <c r="I100" s="101">
        <f t="shared" si="78"/>
        <v>6</v>
      </c>
      <c r="J100" s="101">
        <f t="shared" si="78"/>
        <v>7</v>
      </c>
      <c r="K100" s="101">
        <f t="shared" si="78"/>
        <v>8</v>
      </c>
      <c r="L100" s="101">
        <f t="shared" si="78"/>
        <v>9</v>
      </c>
      <c r="M100" s="101">
        <f t="shared" si="78"/>
        <v>10</v>
      </c>
      <c r="N100" s="101">
        <f>M100+1</f>
        <v>11</v>
      </c>
      <c r="O100" s="101">
        <f t="shared" ref="O100:AA100" si="79">N100+1</f>
        <v>12</v>
      </c>
      <c r="P100" s="101">
        <f t="shared" si="79"/>
        <v>13</v>
      </c>
      <c r="Q100" s="101">
        <f t="shared" si="79"/>
        <v>14</v>
      </c>
      <c r="R100" s="101">
        <f t="shared" si="79"/>
        <v>15</v>
      </c>
      <c r="S100" s="101">
        <f t="shared" si="79"/>
        <v>16</v>
      </c>
      <c r="T100" s="101">
        <f t="shared" si="79"/>
        <v>17</v>
      </c>
      <c r="U100" s="101">
        <f t="shared" si="79"/>
        <v>18</v>
      </c>
      <c r="V100" s="101">
        <f t="shared" si="79"/>
        <v>19</v>
      </c>
      <c r="W100" s="101">
        <f t="shared" si="79"/>
        <v>20</v>
      </c>
      <c r="X100" s="101">
        <f t="shared" si="79"/>
        <v>21</v>
      </c>
      <c r="Y100" s="101">
        <f t="shared" si="79"/>
        <v>22</v>
      </c>
      <c r="Z100" s="101">
        <f t="shared" si="79"/>
        <v>23</v>
      </c>
      <c r="AA100" s="101">
        <f t="shared" si="79"/>
        <v>24</v>
      </c>
    </row>
    <row r="101" spans="1:28" x14ac:dyDescent="0.25">
      <c r="A101" s="118"/>
      <c r="B101" s="118" t="s">
        <v>292</v>
      </c>
      <c r="C101" s="130">
        <f t="shared" ref="C101:AA101" si="80">+C61</f>
        <v>0</v>
      </c>
      <c r="D101" s="119">
        <f t="shared" si="80"/>
        <v>155.51249999999999</v>
      </c>
      <c r="E101" s="119">
        <f t="shared" si="80"/>
        <v>103.51249999999999</v>
      </c>
      <c r="F101" s="119">
        <f t="shared" si="80"/>
        <v>106.24250000000001</v>
      </c>
      <c r="G101" s="119">
        <f t="shared" si="80"/>
        <v>99.06</v>
      </c>
      <c r="H101" s="119">
        <f t="shared" si="80"/>
        <v>71.597499999999968</v>
      </c>
      <c r="I101" s="119">
        <f t="shared" si="80"/>
        <v>130.22750000000002</v>
      </c>
      <c r="J101" s="119">
        <f t="shared" si="80"/>
        <v>146.41250000000002</v>
      </c>
      <c r="K101" s="119">
        <f t="shared" si="80"/>
        <v>177.41750000000002</v>
      </c>
      <c r="L101" s="119">
        <f t="shared" si="80"/>
        <v>190.41750000000002</v>
      </c>
      <c r="M101" s="119">
        <f t="shared" si="80"/>
        <v>192.76075000000003</v>
      </c>
      <c r="N101" s="119">
        <f t="shared" si="80"/>
        <v>196.76280749999989</v>
      </c>
      <c r="O101" s="119">
        <f t="shared" si="80"/>
        <v>198.5813355750002</v>
      </c>
      <c r="P101" s="119">
        <f t="shared" si="80"/>
        <v>200.41804893075061</v>
      </c>
      <c r="Q101" s="119">
        <f t="shared" si="80"/>
        <v>202.27312942005756</v>
      </c>
      <c r="R101" s="119">
        <f t="shared" si="80"/>
        <v>204.14676071425833</v>
      </c>
      <c r="S101" s="119">
        <f t="shared" si="80"/>
        <v>206.03912832140077</v>
      </c>
      <c r="T101" s="119">
        <f t="shared" si="80"/>
        <v>207.95041960461492</v>
      </c>
      <c r="U101" s="119">
        <f t="shared" si="80"/>
        <v>209.88082380066089</v>
      </c>
      <c r="V101" s="119">
        <f t="shared" si="80"/>
        <v>211.83053203866712</v>
      </c>
      <c r="W101" s="119">
        <f t="shared" si="80"/>
        <v>213.79973735905446</v>
      </c>
      <c r="X101" s="119">
        <f t="shared" si="80"/>
        <v>215.78863473264437</v>
      </c>
      <c r="Y101" s="119">
        <f t="shared" si="80"/>
        <v>217.79742107997117</v>
      </c>
      <c r="Z101" s="119">
        <f t="shared" si="80"/>
        <v>219.8262952907703</v>
      </c>
      <c r="AA101" s="119">
        <f t="shared" si="80"/>
        <v>221.87545824367839</v>
      </c>
    </row>
    <row r="102" spans="1:28" x14ac:dyDescent="0.25">
      <c r="A102" s="118"/>
      <c r="B102" s="118" t="s">
        <v>276</v>
      </c>
      <c r="C102" s="120">
        <f t="shared" ref="C102:AA102" si="81">+C39</f>
        <v>0.12759431159043877</v>
      </c>
      <c r="D102" s="120">
        <f t="shared" si="81"/>
        <v>0.12870828373431936</v>
      </c>
      <c r="E102" s="120">
        <f t="shared" si="81"/>
        <v>0.12691718872967717</v>
      </c>
      <c r="F102" s="120">
        <f t="shared" si="81"/>
        <v>0.12484182375859004</v>
      </c>
      <c r="G102" s="120">
        <f t="shared" si="81"/>
        <v>0.12617986033448333</v>
      </c>
      <c r="H102" s="120">
        <f t="shared" si="81"/>
        <v>0.12976752504975367</v>
      </c>
      <c r="I102" s="120">
        <f t="shared" si="81"/>
        <v>0.12955620838909407</v>
      </c>
      <c r="J102" s="120">
        <f t="shared" si="81"/>
        <v>0.12605346072705606</v>
      </c>
      <c r="K102" s="120">
        <f t="shared" si="81"/>
        <v>0.12498073502838933</v>
      </c>
      <c r="L102" s="120">
        <f t="shared" si="81"/>
        <v>0.12566756389685119</v>
      </c>
      <c r="M102" s="120">
        <f t="shared" si="81"/>
        <v>0.12465750808203033</v>
      </c>
      <c r="N102" s="120">
        <f t="shared" si="81"/>
        <v>0.12470149629489119</v>
      </c>
      <c r="O102" s="120">
        <f t="shared" si="81"/>
        <v>0.12474511780715647</v>
      </c>
      <c r="P102" s="120">
        <f t="shared" si="81"/>
        <v>0.1247883750526437</v>
      </c>
      <c r="Q102" s="120">
        <f t="shared" si="81"/>
        <v>0.1247883750526437</v>
      </c>
      <c r="R102" s="120">
        <f t="shared" si="81"/>
        <v>0.1247883750526437</v>
      </c>
      <c r="S102" s="120">
        <f t="shared" si="81"/>
        <v>0.1247883750526437</v>
      </c>
      <c r="T102" s="120">
        <f t="shared" si="81"/>
        <v>0.1247883750526437</v>
      </c>
      <c r="U102" s="120">
        <f t="shared" si="81"/>
        <v>0.1247883750526437</v>
      </c>
      <c r="V102" s="120">
        <f t="shared" si="81"/>
        <v>0.1247883750526437</v>
      </c>
      <c r="W102" s="120">
        <f t="shared" si="81"/>
        <v>0.1247883750526437</v>
      </c>
      <c r="X102" s="120">
        <f t="shared" si="81"/>
        <v>0.1247883750526437</v>
      </c>
      <c r="Y102" s="120">
        <f t="shared" si="81"/>
        <v>0.1247883750526437</v>
      </c>
      <c r="Z102" s="120">
        <f t="shared" si="81"/>
        <v>0.1247883750526437</v>
      </c>
      <c r="AA102" s="120">
        <f t="shared" si="81"/>
        <v>0</v>
      </c>
      <c r="AB102" s="120"/>
    </row>
    <row r="103" spans="1:28" x14ac:dyDescent="0.25">
      <c r="A103" s="118"/>
      <c r="B103" s="118" t="s">
        <v>318</v>
      </c>
      <c r="C103" s="119">
        <f>1/(1+C102)^C100</f>
        <v>1</v>
      </c>
      <c r="D103" s="121">
        <f>+C103/(1+D102)</f>
        <v>0.88596851322071513</v>
      </c>
      <c r="E103" s="121">
        <f>+D103/(1+E102)</f>
        <v>0.78618777145410956</v>
      </c>
      <c r="F103" s="121">
        <f t="shared" ref="F103:M103" si="82">+E103/(1+F102)</f>
        <v>0.69893184521456653</v>
      </c>
      <c r="G103" s="121">
        <f t="shared" si="82"/>
        <v>0.62062186497188732</v>
      </c>
      <c r="H103" s="121">
        <f t="shared" si="82"/>
        <v>0.5493359042556617</v>
      </c>
      <c r="I103" s="121">
        <f t="shared" si="82"/>
        <v>0.48632896723138014</v>
      </c>
      <c r="J103" s="121">
        <f t="shared" si="82"/>
        <v>0.43188799128362287</v>
      </c>
      <c r="K103" s="121">
        <f t="shared" si="82"/>
        <v>0.38390701088114543</v>
      </c>
      <c r="L103" s="121">
        <f t="shared" si="82"/>
        <v>0.34104830164256572</v>
      </c>
      <c r="M103" s="121">
        <f t="shared" si="82"/>
        <v>0.303246365397216</v>
      </c>
      <c r="N103" s="119">
        <f t="shared" ref="N103:AA103" si="83">1/(1+N102)^N100</f>
        <v>0.27453011869274729</v>
      </c>
      <c r="O103" s="119">
        <f t="shared" si="83"/>
        <v>0.24397796223965734</v>
      </c>
      <c r="P103" s="119">
        <f t="shared" si="83"/>
        <v>0.21681002067470773</v>
      </c>
      <c r="Q103" s="119">
        <f t="shared" si="83"/>
        <v>0.19275627796611994</v>
      </c>
      <c r="R103" s="119">
        <f t="shared" si="83"/>
        <v>0.17137115055718666</v>
      </c>
      <c r="S103" s="119">
        <f t="shared" si="83"/>
        <v>0.15235857193951344</v>
      </c>
      <c r="T103" s="119">
        <f t="shared" si="83"/>
        <v>0.13545532236887012</v>
      </c>
      <c r="U103" s="119">
        <f t="shared" si="83"/>
        <v>0.12042738471806341</v>
      </c>
      <c r="V103" s="119">
        <f t="shared" si="83"/>
        <v>0.10706670462559416</v>
      </c>
      <c r="W103" s="119">
        <f t="shared" si="83"/>
        <v>9.5188310085960015E-2</v>
      </c>
      <c r="X103" s="119">
        <f t="shared" si="83"/>
        <v>8.462775060375681E-2</v>
      </c>
      <c r="Y103" s="119">
        <f t="shared" si="83"/>
        <v>7.5238820457933675E-2</v>
      </c>
      <c r="Z103" s="119">
        <f t="shared" si="83"/>
        <v>6.6891534555922366E-2</v>
      </c>
      <c r="AA103" s="119">
        <f t="shared" si="83"/>
        <v>1</v>
      </c>
    </row>
    <row r="104" spans="1:28" x14ac:dyDescent="0.25">
      <c r="A104" s="118"/>
      <c r="B104" s="118" t="s">
        <v>319</v>
      </c>
      <c r="C104" s="119">
        <f>+C101*C103</f>
        <v>0</v>
      </c>
      <c r="D104" s="119">
        <f>+D101*D103</f>
        <v>137.77917841223646</v>
      </c>
      <c r="E104" s="119">
        <f t="shared" ref="E104:AA104" si="84">+E101*E103</f>
        <v>81.380261692643501</v>
      </c>
      <c r="F104" s="119">
        <f t="shared" si="84"/>
        <v>74.256266565208591</v>
      </c>
      <c r="G104" s="119">
        <f t="shared" si="84"/>
        <v>61.478801944115162</v>
      </c>
      <c r="H104" s="119">
        <f t="shared" si="84"/>
        <v>39.331077404944722</v>
      </c>
      <c r="I104" s="119">
        <f t="shared" si="84"/>
        <v>63.33340558012457</v>
      </c>
      <c r="J104" s="119">
        <f t="shared" si="84"/>
        <v>63.233800523813443</v>
      </c>
      <c r="K104" s="119">
        <f t="shared" si="84"/>
        <v>68.111822103005622</v>
      </c>
      <c r="L104" s="119">
        <f t="shared" si="84"/>
        <v>64.941564978023266</v>
      </c>
      <c r="M104" s="119">
        <f t="shared" si="84"/>
        <v>58.45399682874141</v>
      </c>
      <c r="N104" s="119">
        <f t="shared" si="84"/>
        <v>54.017316897293156</v>
      </c>
      <c r="O104" s="119">
        <f t="shared" si="84"/>
        <v>48.449469592418119</v>
      </c>
      <c r="P104" s="119">
        <f t="shared" si="84"/>
        <v>43.452641332260626</v>
      </c>
      <c r="Q104" s="119">
        <f t="shared" si="84"/>
        <v>38.989415559569565</v>
      </c>
      <c r="R104" s="119">
        <f t="shared" si="84"/>
        <v>34.984865266125126</v>
      </c>
      <c r="S104" s="119">
        <f t="shared" si="84"/>
        <v>31.391827354710781</v>
      </c>
      <c r="T104" s="119">
        <f t="shared" si="84"/>
        <v>28.167991124284924</v>
      </c>
      <c r="U104" s="119">
        <f t="shared" si="84"/>
        <v>25.27539871278627</v>
      </c>
      <c r="V104" s="119">
        <f t="shared" si="84"/>
        <v>22.679997004466433</v>
      </c>
      <c r="W104" s="119">
        <f t="shared" si="84"/>
        <v>20.351235696030486</v>
      </c>
      <c r="X104" s="119">
        <f t="shared" si="84"/>
        <v>18.261706763279403</v>
      </c>
      <c r="Y104" s="119">
        <f t="shared" si="84"/>
        <v>16.38682106083693</v>
      </c>
      <c r="Z104" s="119">
        <f t="shared" si="84"/>
        <v>14.704518227742955</v>
      </c>
      <c r="AA104" s="119">
        <f t="shared" si="84"/>
        <v>221.87545824367839</v>
      </c>
    </row>
    <row r="105" spans="1:28" x14ac:dyDescent="0.25">
      <c r="A105" s="118"/>
      <c r="B105" s="118" t="s">
        <v>320</v>
      </c>
      <c r="C105" s="123">
        <f>+SUM(D104:M104)</f>
        <v>712.30017603285671</v>
      </c>
      <c r="D105" s="123">
        <f>+SUM(E104:N104)/D103</f>
        <v>709.43640224077592</v>
      </c>
      <c r="E105" s="123">
        <f t="shared" ref="E105:M105" si="85">+SUM(F104:O104)/E103</f>
        <v>757.58940045082386</v>
      </c>
      <c r="F105" s="123">
        <f t="shared" si="85"/>
        <v>808.09581227673198</v>
      </c>
      <c r="G105" s="123">
        <f t="shared" si="85"/>
        <v>873.82437101979974</v>
      </c>
      <c r="H105" s="123">
        <f t="shared" si="85"/>
        <v>979.30664006080269</v>
      </c>
      <c r="I105" s="123">
        <f t="shared" si="85"/>
        <v>1040.5029404617171</v>
      </c>
      <c r="J105" s="123">
        <f t="shared" si="85"/>
        <v>1090.4700305203678</v>
      </c>
      <c r="K105" s="123">
        <f t="shared" si="85"/>
        <v>1115.1775703798157</v>
      </c>
      <c r="L105" s="123">
        <f t="shared" si="85"/>
        <v>1131.4025544600379</v>
      </c>
      <c r="M105" s="123">
        <f t="shared" si="85"/>
        <v>1146.7908546386759</v>
      </c>
      <c r="N105" s="119"/>
    </row>
    <row r="106" spans="1:28" ht="16.5" thickBot="1" x14ac:dyDescent="0.3">
      <c r="A106" s="118"/>
      <c r="B106" s="118" t="s">
        <v>321</v>
      </c>
      <c r="C106" s="123">
        <f>+N101/(N102-N$29)*C103*M103</f>
        <v>520.19902221959626</v>
      </c>
      <c r="D106" s="123">
        <f t="shared" ref="D106:M106" si="86">+O101/(O102-O$29)*N103/D103</f>
        <v>536.26063895871891</v>
      </c>
      <c r="E106" s="123">
        <f t="shared" si="86"/>
        <v>541.8302368090425</v>
      </c>
      <c r="F106" s="123">
        <f t="shared" si="86"/>
        <v>546.61910640513645</v>
      </c>
      <c r="G106" s="123">
        <f t="shared" si="86"/>
        <v>552.3648633923757</v>
      </c>
      <c r="H106" s="123">
        <f t="shared" si="86"/>
        <v>559.95293219913333</v>
      </c>
      <c r="I106" s="123">
        <f t="shared" si="86"/>
        <v>567.54283872195901</v>
      </c>
      <c r="J106" s="123">
        <f t="shared" si="86"/>
        <v>573.45559946819708</v>
      </c>
      <c r="K106" s="123">
        <f t="shared" si="86"/>
        <v>578.88175353810266</v>
      </c>
      <c r="L106" s="123">
        <f t="shared" si="86"/>
        <v>584.71980496623814</v>
      </c>
      <c r="M106" s="123">
        <f t="shared" si="86"/>
        <v>590.09056629596262</v>
      </c>
      <c r="N106" s="119"/>
    </row>
    <row r="107" spans="1:28" ht="16.5" thickBot="1" x14ac:dyDescent="0.3">
      <c r="A107" s="9"/>
      <c r="B107" s="129" t="s">
        <v>300</v>
      </c>
      <c r="C107" s="125">
        <f>+C105+C106</f>
        <v>1232.499198252453</v>
      </c>
      <c r="D107" s="125">
        <f t="shared" ref="D107:M107" si="87">+D105+D106</f>
        <v>1245.6970411994948</v>
      </c>
      <c r="E107" s="125">
        <f t="shared" si="87"/>
        <v>1299.4196372598662</v>
      </c>
      <c r="F107" s="125">
        <f t="shared" si="87"/>
        <v>1354.7149186818683</v>
      </c>
      <c r="G107" s="125">
        <f t="shared" si="87"/>
        <v>1426.1892344121754</v>
      </c>
      <c r="H107" s="125">
        <f t="shared" si="87"/>
        <v>1539.259572259936</v>
      </c>
      <c r="I107" s="125">
        <f t="shared" si="87"/>
        <v>1608.0457791836761</v>
      </c>
      <c r="J107" s="125">
        <f t="shared" si="87"/>
        <v>1663.9256299885649</v>
      </c>
      <c r="K107" s="125">
        <f t="shared" si="87"/>
        <v>1694.0593239179184</v>
      </c>
      <c r="L107" s="125">
        <f t="shared" si="87"/>
        <v>1716.122359426276</v>
      </c>
      <c r="M107" s="125">
        <f t="shared" si="87"/>
        <v>1736.8814209346385</v>
      </c>
      <c r="N107" s="9"/>
    </row>
    <row r="108" spans="1:28" ht="16.5" thickBot="1" x14ac:dyDescent="0.3">
      <c r="A108" s="9"/>
      <c r="B108" s="118" t="s">
        <v>301</v>
      </c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9"/>
    </row>
    <row r="109" spans="1:28" ht="16.5" thickBot="1" x14ac:dyDescent="0.3">
      <c r="A109" s="126" t="s">
        <v>322</v>
      </c>
      <c r="B109" s="127" t="s">
        <v>303</v>
      </c>
      <c r="C109" s="128">
        <f t="shared" ref="C109:M109" si="88">+C107+C108</f>
        <v>1232.499198252453</v>
      </c>
      <c r="D109" s="128">
        <f t="shared" si="88"/>
        <v>1245.6970411994948</v>
      </c>
      <c r="E109" s="128">
        <f t="shared" si="88"/>
        <v>1299.4196372598662</v>
      </c>
      <c r="F109" s="128">
        <f t="shared" si="88"/>
        <v>1354.7149186818683</v>
      </c>
      <c r="G109" s="128">
        <f t="shared" si="88"/>
        <v>1426.1892344121754</v>
      </c>
      <c r="H109" s="128">
        <f t="shared" si="88"/>
        <v>1539.259572259936</v>
      </c>
      <c r="I109" s="128">
        <f t="shared" si="88"/>
        <v>1608.0457791836761</v>
      </c>
      <c r="J109" s="128">
        <f t="shared" si="88"/>
        <v>1663.9256299885649</v>
      </c>
      <c r="K109" s="128">
        <f t="shared" si="88"/>
        <v>1694.0593239179184</v>
      </c>
      <c r="L109" s="128">
        <f t="shared" si="88"/>
        <v>1716.122359426276</v>
      </c>
      <c r="M109" s="128">
        <f t="shared" si="88"/>
        <v>1736.8814209346385</v>
      </c>
      <c r="N109" s="9"/>
    </row>
  </sheetData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showGridLines="0" topLeftCell="A25" workbookViewId="0">
      <selection activeCell="D37" sqref="D37"/>
    </sheetView>
  </sheetViews>
  <sheetFormatPr baseColWidth="10" defaultColWidth="11.42578125" defaultRowHeight="15" x14ac:dyDescent="0.25"/>
  <cols>
    <col min="1" max="1" width="4.5703125" style="202" customWidth="1"/>
    <col min="2" max="2" width="20.140625" style="202" customWidth="1"/>
    <col min="3" max="5" width="13.42578125" style="202" bestFit="1" customWidth="1"/>
    <col min="6" max="6" width="12" style="202" bestFit="1" customWidth="1"/>
    <col min="7" max="9" width="13.42578125" style="202" bestFit="1" customWidth="1"/>
    <col min="10" max="10" width="12" style="202" bestFit="1" customWidth="1"/>
    <col min="11" max="256" width="11.42578125" style="202"/>
    <col min="257" max="257" width="4.5703125" style="202" customWidth="1"/>
    <col min="258" max="258" width="20.140625" style="202" customWidth="1"/>
    <col min="259" max="259" width="11.28515625" style="202" bestFit="1" customWidth="1"/>
    <col min="260" max="261" width="11.28515625" style="202" customWidth="1"/>
    <col min="262" max="266" width="11.28515625" style="202" bestFit="1" customWidth="1"/>
    <col min="267" max="512" width="11.42578125" style="202"/>
    <col min="513" max="513" width="4.5703125" style="202" customWidth="1"/>
    <col min="514" max="514" width="20.140625" style="202" customWidth="1"/>
    <col min="515" max="515" width="11.28515625" style="202" bestFit="1" customWidth="1"/>
    <col min="516" max="517" width="11.28515625" style="202" customWidth="1"/>
    <col min="518" max="522" width="11.28515625" style="202" bestFit="1" customWidth="1"/>
    <col min="523" max="768" width="11.42578125" style="202"/>
    <col min="769" max="769" width="4.5703125" style="202" customWidth="1"/>
    <col min="770" max="770" width="20.140625" style="202" customWidth="1"/>
    <col min="771" max="771" width="11.28515625" style="202" bestFit="1" customWidth="1"/>
    <col min="772" max="773" width="11.28515625" style="202" customWidth="1"/>
    <col min="774" max="778" width="11.28515625" style="202" bestFit="1" customWidth="1"/>
    <col min="779" max="1024" width="11.42578125" style="202"/>
    <col min="1025" max="1025" width="4.5703125" style="202" customWidth="1"/>
    <col min="1026" max="1026" width="20.140625" style="202" customWidth="1"/>
    <col min="1027" max="1027" width="11.28515625" style="202" bestFit="1" customWidth="1"/>
    <col min="1028" max="1029" width="11.28515625" style="202" customWidth="1"/>
    <col min="1030" max="1034" width="11.28515625" style="202" bestFit="1" customWidth="1"/>
    <col min="1035" max="1280" width="11.42578125" style="202"/>
    <col min="1281" max="1281" width="4.5703125" style="202" customWidth="1"/>
    <col min="1282" max="1282" width="20.140625" style="202" customWidth="1"/>
    <col min="1283" max="1283" width="11.28515625" style="202" bestFit="1" customWidth="1"/>
    <col min="1284" max="1285" width="11.28515625" style="202" customWidth="1"/>
    <col min="1286" max="1290" width="11.28515625" style="202" bestFit="1" customWidth="1"/>
    <col min="1291" max="1536" width="11.42578125" style="202"/>
    <col min="1537" max="1537" width="4.5703125" style="202" customWidth="1"/>
    <col min="1538" max="1538" width="20.140625" style="202" customWidth="1"/>
    <col min="1539" max="1539" width="11.28515625" style="202" bestFit="1" customWidth="1"/>
    <col min="1540" max="1541" width="11.28515625" style="202" customWidth="1"/>
    <col min="1542" max="1546" width="11.28515625" style="202" bestFit="1" customWidth="1"/>
    <col min="1547" max="1792" width="11.42578125" style="202"/>
    <col min="1793" max="1793" width="4.5703125" style="202" customWidth="1"/>
    <col min="1794" max="1794" width="20.140625" style="202" customWidth="1"/>
    <col min="1795" max="1795" width="11.28515625" style="202" bestFit="1" customWidth="1"/>
    <col min="1796" max="1797" width="11.28515625" style="202" customWidth="1"/>
    <col min="1798" max="1802" width="11.28515625" style="202" bestFit="1" customWidth="1"/>
    <col min="1803" max="2048" width="11.42578125" style="202"/>
    <col min="2049" max="2049" width="4.5703125" style="202" customWidth="1"/>
    <col min="2050" max="2050" width="20.140625" style="202" customWidth="1"/>
    <col min="2051" max="2051" width="11.28515625" style="202" bestFit="1" customWidth="1"/>
    <col min="2052" max="2053" width="11.28515625" style="202" customWidth="1"/>
    <col min="2054" max="2058" width="11.28515625" style="202" bestFit="1" customWidth="1"/>
    <col min="2059" max="2304" width="11.42578125" style="202"/>
    <col min="2305" max="2305" width="4.5703125" style="202" customWidth="1"/>
    <col min="2306" max="2306" width="20.140625" style="202" customWidth="1"/>
    <col min="2307" max="2307" width="11.28515625" style="202" bestFit="1" customWidth="1"/>
    <col min="2308" max="2309" width="11.28515625" style="202" customWidth="1"/>
    <col min="2310" max="2314" width="11.28515625" style="202" bestFit="1" customWidth="1"/>
    <col min="2315" max="2560" width="11.42578125" style="202"/>
    <col min="2561" max="2561" width="4.5703125" style="202" customWidth="1"/>
    <col min="2562" max="2562" width="20.140625" style="202" customWidth="1"/>
    <col min="2563" max="2563" width="11.28515625" style="202" bestFit="1" customWidth="1"/>
    <col min="2564" max="2565" width="11.28515625" style="202" customWidth="1"/>
    <col min="2566" max="2570" width="11.28515625" style="202" bestFit="1" customWidth="1"/>
    <col min="2571" max="2816" width="11.42578125" style="202"/>
    <col min="2817" max="2817" width="4.5703125" style="202" customWidth="1"/>
    <col min="2818" max="2818" width="20.140625" style="202" customWidth="1"/>
    <col min="2819" max="2819" width="11.28515625" style="202" bestFit="1" customWidth="1"/>
    <col min="2820" max="2821" width="11.28515625" style="202" customWidth="1"/>
    <col min="2822" max="2826" width="11.28515625" style="202" bestFit="1" customWidth="1"/>
    <col min="2827" max="3072" width="11.42578125" style="202"/>
    <col min="3073" max="3073" width="4.5703125" style="202" customWidth="1"/>
    <col min="3074" max="3074" width="20.140625" style="202" customWidth="1"/>
    <col min="3075" max="3075" width="11.28515625" style="202" bestFit="1" customWidth="1"/>
    <col min="3076" max="3077" width="11.28515625" style="202" customWidth="1"/>
    <col min="3078" max="3082" width="11.28515625" style="202" bestFit="1" customWidth="1"/>
    <col min="3083" max="3328" width="11.42578125" style="202"/>
    <col min="3329" max="3329" width="4.5703125" style="202" customWidth="1"/>
    <col min="3330" max="3330" width="20.140625" style="202" customWidth="1"/>
    <col min="3331" max="3331" width="11.28515625" style="202" bestFit="1" customWidth="1"/>
    <col min="3332" max="3333" width="11.28515625" style="202" customWidth="1"/>
    <col min="3334" max="3338" width="11.28515625" style="202" bestFit="1" customWidth="1"/>
    <col min="3339" max="3584" width="11.42578125" style="202"/>
    <col min="3585" max="3585" width="4.5703125" style="202" customWidth="1"/>
    <col min="3586" max="3586" width="20.140625" style="202" customWidth="1"/>
    <col min="3587" max="3587" width="11.28515625" style="202" bestFit="1" customWidth="1"/>
    <col min="3588" max="3589" width="11.28515625" style="202" customWidth="1"/>
    <col min="3590" max="3594" width="11.28515625" style="202" bestFit="1" customWidth="1"/>
    <col min="3595" max="3840" width="11.42578125" style="202"/>
    <col min="3841" max="3841" width="4.5703125" style="202" customWidth="1"/>
    <col min="3842" max="3842" width="20.140625" style="202" customWidth="1"/>
    <col min="3843" max="3843" width="11.28515625" style="202" bestFit="1" customWidth="1"/>
    <col min="3844" max="3845" width="11.28515625" style="202" customWidth="1"/>
    <col min="3846" max="3850" width="11.28515625" style="202" bestFit="1" customWidth="1"/>
    <col min="3851" max="4096" width="11.42578125" style="202"/>
    <col min="4097" max="4097" width="4.5703125" style="202" customWidth="1"/>
    <col min="4098" max="4098" width="20.140625" style="202" customWidth="1"/>
    <col min="4099" max="4099" width="11.28515625" style="202" bestFit="1" customWidth="1"/>
    <col min="4100" max="4101" width="11.28515625" style="202" customWidth="1"/>
    <col min="4102" max="4106" width="11.28515625" style="202" bestFit="1" customWidth="1"/>
    <col min="4107" max="4352" width="11.42578125" style="202"/>
    <col min="4353" max="4353" width="4.5703125" style="202" customWidth="1"/>
    <col min="4354" max="4354" width="20.140625" style="202" customWidth="1"/>
    <col min="4355" max="4355" width="11.28515625" style="202" bestFit="1" customWidth="1"/>
    <col min="4356" max="4357" width="11.28515625" style="202" customWidth="1"/>
    <col min="4358" max="4362" width="11.28515625" style="202" bestFit="1" customWidth="1"/>
    <col min="4363" max="4608" width="11.42578125" style="202"/>
    <col min="4609" max="4609" width="4.5703125" style="202" customWidth="1"/>
    <col min="4610" max="4610" width="20.140625" style="202" customWidth="1"/>
    <col min="4611" max="4611" width="11.28515625" style="202" bestFit="1" customWidth="1"/>
    <col min="4612" max="4613" width="11.28515625" style="202" customWidth="1"/>
    <col min="4614" max="4618" width="11.28515625" style="202" bestFit="1" customWidth="1"/>
    <col min="4619" max="4864" width="11.42578125" style="202"/>
    <col min="4865" max="4865" width="4.5703125" style="202" customWidth="1"/>
    <col min="4866" max="4866" width="20.140625" style="202" customWidth="1"/>
    <col min="4867" max="4867" width="11.28515625" style="202" bestFit="1" customWidth="1"/>
    <col min="4868" max="4869" width="11.28515625" style="202" customWidth="1"/>
    <col min="4870" max="4874" width="11.28515625" style="202" bestFit="1" customWidth="1"/>
    <col min="4875" max="5120" width="11.42578125" style="202"/>
    <col min="5121" max="5121" width="4.5703125" style="202" customWidth="1"/>
    <col min="5122" max="5122" width="20.140625" style="202" customWidth="1"/>
    <col min="5123" max="5123" width="11.28515625" style="202" bestFit="1" customWidth="1"/>
    <col min="5124" max="5125" width="11.28515625" style="202" customWidth="1"/>
    <col min="5126" max="5130" width="11.28515625" style="202" bestFit="1" customWidth="1"/>
    <col min="5131" max="5376" width="11.42578125" style="202"/>
    <col min="5377" max="5377" width="4.5703125" style="202" customWidth="1"/>
    <col min="5378" max="5378" width="20.140625" style="202" customWidth="1"/>
    <col min="5379" max="5379" width="11.28515625" style="202" bestFit="1" customWidth="1"/>
    <col min="5380" max="5381" width="11.28515625" style="202" customWidth="1"/>
    <col min="5382" max="5386" width="11.28515625" style="202" bestFit="1" customWidth="1"/>
    <col min="5387" max="5632" width="11.42578125" style="202"/>
    <col min="5633" max="5633" width="4.5703125" style="202" customWidth="1"/>
    <col min="5634" max="5634" width="20.140625" style="202" customWidth="1"/>
    <col min="5635" max="5635" width="11.28515625" style="202" bestFit="1" customWidth="1"/>
    <col min="5636" max="5637" width="11.28515625" style="202" customWidth="1"/>
    <col min="5638" max="5642" width="11.28515625" style="202" bestFit="1" customWidth="1"/>
    <col min="5643" max="5888" width="11.42578125" style="202"/>
    <col min="5889" max="5889" width="4.5703125" style="202" customWidth="1"/>
    <col min="5890" max="5890" width="20.140625" style="202" customWidth="1"/>
    <col min="5891" max="5891" width="11.28515625" style="202" bestFit="1" customWidth="1"/>
    <col min="5892" max="5893" width="11.28515625" style="202" customWidth="1"/>
    <col min="5894" max="5898" width="11.28515625" style="202" bestFit="1" customWidth="1"/>
    <col min="5899" max="6144" width="11.42578125" style="202"/>
    <col min="6145" max="6145" width="4.5703125" style="202" customWidth="1"/>
    <col min="6146" max="6146" width="20.140625" style="202" customWidth="1"/>
    <col min="6147" max="6147" width="11.28515625" style="202" bestFit="1" customWidth="1"/>
    <col min="6148" max="6149" width="11.28515625" style="202" customWidth="1"/>
    <col min="6150" max="6154" width="11.28515625" style="202" bestFit="1" customWidth="1"/>
    <col min="6155" max="6400" width="11.42578125" style="202"/>
    <col min="6401" max="6401" width="4.5703125" style="202" customWidth="1"/>
    <col min="6402" max="6402" width="20.140625" style="202" customWidth="1"/>
    <col min="6403" max="6403" width="11.28515625" style="202" bestFit="1" customWidth="1"/>
    <col min="6404" max="6405" width="11.28515625" style="202" customWidth="1"/>
    <col min="6406" max="6410" width="11.28515625" style="202" bestFit="1" customWidth="1"/>
    <col min="6411" max="6656" width="11.42578125" style="202"/>
    <col min="6657" max="6657" width="4.5703125" style="202" customWidth="1"/>
    <col min="6658" max="6658" width="20.140625" style="202" customWidth="1"/>
    <col min="6659" max="6659" width="11.28515625" style="202" bestFit="1" customWidth="1"/>
    <col min="6660" max="6661" width="11.28515625" style="202" customWidth="1"/>
    <col min="6662" max="6666" width="11.28515625" style="202" bestFit="1" customWidth="1"/>
    <col min="6667" max="6912" width="11.42578125" style="202"/>
    <col min="6913" max="6913" width="4.5703125" style="202" customWidth="1"/>
    <col min="6914" max="6914" width="20.140625" style="202" customWidth="1"/>
    <col min="6915" max="6915" width="11.28515625" style="202" bestFit="1" customWidth="1"/>
    <col min="6916" max="6917" width="11.28515625" style="202" customWidth="1"/>
    <col min="6918" max="6922" width="11.28515625" style="202" bestFit="1" customWidth="1"/>
    <col min="6923" max="7168" width="11.42578125" style="202"/>
    <col min="7169" max="7169" width="4.5703125" style="202" customWidth="1"/>
    <col min="7170" max="7170" width="20.140625" style="202" customWidth="1"/>
    <col min="7171" max="7171" width="11.28515625" style="202" bestFit="1" customWidth="1"/>
    <col min="7172" max="7173" width="11.28515625" style="202" customWidth="1"/>
    <col min="7174" max="7178" width="11.28515625" style="202" bestFit="1" customWidth="1"/>
    <col min="7179" max="7424" width="11.42578125" style="202"/>
    <col min="7425" max="7425" width="4.5703125" style="202" customWidth="1"/>
    <col min="7426" max="7426" width="20.140625" style="202" customWidth="1"/>
    <col min="7427" max="7427" width="11.28515625" style="202" bestFit="1" customWidth="1"/>
    <col min="7428" max="7429" width="11.28515625" style="202" customWidth="1"/>
    <col min="7430" max="7434" width="11.28515625" style="202" bestFit="1" customWidth="1"/>
    <col min="7435" max="7680" width="11.42578125" style="202"/>
    <col min="7681" max="7681" width="4.5703125" style="202" customWidth="1"/>
    <col min="7682" max="7682" width="20.140625" style="202" customWidth="1"/>
    <col min="7683" max="7683" width="11.28515625" style="202" bestFit="1" customWidth="1"/>
    <col min="7684" max="7685" width="11.28515625" style="202" customWidth="1"/>
    <col min="7686" max="7690" width="11.28515625" style="202" bestFit="1" customWidth="1"/>
    <col min="7691" max="7936" width="11.42578125" style="202"/>
    <col min="7937" max="7937" width="4.5703125" style="202" customWidth="1"/>
    <col min="7938" max="7938" width="20.140625" style="202" customWidth="1"/>
    <col min="7939" max="7939" width="11.28515625" style="202" bestFit="1" customWidth="1"/>
    <col min="7940" max="7941" width="11.28515625" style="202" customWidth="1"/>
    <col min="7942" max="7946" width="11.28515625" style="202" bestFit="1" customWidth="1"/>
    <col min="7947" max="8192" width="11.42578125" style="202"/>
    <col min="8193" max="8193" width="4.5703125" style="202" customWidth="1"/>
    <col min="8194" max="8194" width="20.140625" style="202" customWidth="1"/>
    <col min="8195" max="8195" width="11.28515625" style="202" bestFit="1" customWidth="1"/>
    <col min="8196" max="8197" width="11.28515625" style="202" customWidth="1"/>
    <col min="8198" max="8202" width="11.28515625" style="202" bestFit="1" customWidth="1"/>
    <col min="8203" max="8448" width="11.42578125" style="202"/>
    <col min="8449" max="8449" width="4.5703125" style="202" customWidth="1"/>
    <col min="8450" max="8450" width="20.140625" style="202" customWidth="1"/>
    <col min="8451" max="8451" width="11.28515625" style="202" bestFit="1" customWidth="1"/>
    <col min="8452" max="8453" width="11.28515625" style="202" customWidth="1"/>
    <col min="8454" max="8458" width="11.28515625" style="202" bestFit="1" customWidth="1"/>
    <col min="8459" max="8704" width="11.42578125" style="202"/>
    <col min="8705" max="8705" width="4.5703125" style="202" customWidth="1"/>
    <col min="8706" max="8706" width="20.140625" style="202" customWidth="1"/>
    <col min="8707" max="8707" width="11.28515625" style="202" bestFit="1" customWidth="1"/>
    <col min="8708" max="8709" width="11.28515625" style="202" customWidth="1"/>
    <col min="8710" max="8714" width="11.28515625" style="202" bestFit="1" customWidth="1"/>
    <col min="8715" max="8960" width="11.42578125" style="202"/>
    <col min="8961" max="8961" width="4.5703125" style="202" customWidth="1"/>
    <col min="8962" max="8962" width="20.140625" style="202" customWidth="1"/>
    <col min="8963" max="8963" width="11.28515625" style="202" bestFit="1" customWidth="1"/>
    <col min="8964" max="8965" width="11.28515625" style="202" customWidth="1"/>
    <col min="8966" max="8970" width="11.28515625" style="202" bestFit="1" customWidth="1"/>
    <col min="8971" max="9216" width="11.42578125" style="202"/>
    <col min="9217" max="9217" width="4.5703125" style="202" customWidth="1"/>
    <col min="9218" max="9218" width="20.140625" style="202" customWidth="1"/>
    <col min="9219" max="9219" width="11.28515625" style="202" bestFit="1" customWidth="1"/>
    <col min="9220" max="9221" width="11.28515625" style="202" customWidth="1"/>
    <col min="9222" max="9226" width="11.28515625" style="202" bestFit="1" customWidth="1"/>
    <col min="9227" max="9472" width="11.42578125" style="202"/>
    <col min="9473" max="9473" width="4.5703125" style="202" customWidth="1"/>
    <col min="9474" max="9474" width="20.140625" style="202" customWidth="1"/>
    <col min="9475" max="9475" width="11.28515625" style="202" bestFit="1" customWidth="1"/>
    <col min="9476" max="9477" width="11.28515625" style="202" customWidth="1"/>
    <col min="9478" max="9482" width="11.28515625" style="202" bestFit="1" customWidth="1"/>
    <col min="9483" max="9728" width="11.42578125" style="202"/>
    <col min="9729" max="9729" width="4.5703125" style="202" customWidth="1"/>
    <col min="9730" max="9730" width="20.140625" style="202" customWidth="1"/>
    <col min="9731" max="9731" width="11.28515625" style="202" bestFit="1" customWidth="1"/>
    <col min="9732" max="9733" width="11.28515625" style="202" customWidth="1"/>
    <col min="9734" max="9738" width="11.28515625" style="202" bestFit="1" customWidth="1"/>
    <col min="9739" max="9984" width="11.42578125" style="202"/>
    <col min="9985" max="9985" width="4.5703125" style="202" customWidth="1"/>
    <col min="9986" max="9986" width="20.140625" style="202" customWidth="1"/>
    <col min="9987" max="9987" width="11.28515625" style="202" bestFit="1" customWidth="1"/>
    <col min="9988" max="9989" width="11.28515625" style="202" customWidth="1"/>
    <col min="9990" max="9994" width="11.28515625" style="202" bestFit="1" customWidth="1"/>
    <col min="9995" max="10240" width="11.42578125" style="202"/>
    <col min="10241" max="10241" width="4.5703125" style="202" customWidth="1"/>
    <col min="10242" max="10242" width="20.140625" style="202" customWidth="1"/>
    <col min="10243" max="10243" width="11.28515625" style="202" bestFit="1" customWidth="1"/>
    <col min="10244" max="10245" width="11.28515625" style="202" customWidth="1"/>
    <col min="10246" max="10250" width="11.28515625" style="202" bestFit="1" customWidth="1"/>
    <col min="10251" max="10496" width="11.42578125" style="202"/>
    <col min="10497" max="10497" width="4.5703125" style="202" customWidth="1"/>
    <col min="10498" max="10498" width="20.140625" style="202" customWidth="1"/>
    <col min="10499" max="10499" width="11.28515625" style="202" bestFit="1" customWidth="1"/>
    <col min="10500" max="10501" width="11.28515625" style="202" customWidth="1"/>
    <col min="10502" max="10506" width="11.28515625" style="202" bestFit="1" customWidth="1"/>
    <col min="10507" max="10752" width="11.42578125" style="202"/>
    <col min="10753" max="10753" width="4.5703125" style="202" customWidth="1"/>
    <col min="10754" max="10754" width="20.140625" style="202" customWidth="1"/>
    <col min="10755" max="10755" width="11.28515625" style="202" bestFit="1" customWidth="1"/>
    <col min="10756" max="10757" width="11.28515625" style="202" customWidth="1"/>
    <col min="10758" max="10762" width="11.28515625" style="202" bestFit="1" customWidth="1"/>
    <col min="10763" max="11008" width="11.42578125" style="202"/>
    <col min="11009" max="11009" width="4.5703125" style="202" customWidth="1"/>
    <col min="11010" max="11010" width="20.140625" style="202" customWidth="1"/>
    <col min="11011" max="11011" width="11.28515625" style="202" bestFit="1" customWidth="1"/>
    <col min="11012" max="11013" width="11.28515625" style="202" customWidth="1"/>
    <col min="11014" max="11018" width="11.28515625" style="202" bestFit="1" customWidth="1"/>
    <col min="11019" max="11264" width="11.42578125" style="202"/>
    <col min="11265" max="11265" width="4.5703125" style="202" customWidth="1"/>
    <col min="11266" max="11266" width="20.140625" style="202" customWidth="1"/>
    <col min="11267" max="11267" width="11.28515625" style="202" bestFit="1" customWidth="1"/>
    <col min="11268" max="11269" width="11.28515625" style="202" customWidth="1"/>
    <col min="11270" max="11274" width="11.28515625" style="202" bestFit="1" customWidth="1"/>
    <col min="11275" max="11520" width="11.42578125" style="202"/>
    <col min="11521" max="11521" width="4.5703125" style="202" customWidth="1"/>
    <col min="11522" max="11522" width="20.140625" style="202" customWidth="1"/>
    <col min="11523" max="11523" width="11.28515625" style="202" bestFit="1" customWidth="1"/>
    <col min="11524" max="11525" width="11.28515625" style="202" customWidth="1"/>
    <col min="11526" max="11530" width="11.28515625" style="202" bestFit="1" customWidth="1"/>
    <col min="11531" max="11776" width="11.42578125" style="202"/>
    <col min="11777" max="11777" width="4.5703125" style="202" customWidth="1"/>
    <col min="11778" max="11778" width="20.140625" style="202" customWidth="1"/>
    <col min="11779" max="11779" width="11.28515625" style="202" bestFit="1" customWidth="1"/>
    <col min="11780" max="11781" width="11.28515625" style="202" customWidth="1"/>
    <col min="11782" max="11786" width="11.28515625" style="202" bestFit="1" customWidth="1"/>
    <col min="11787" max="12032" width="11.42578125" style="202"/>
    <col min="12033" max="12033" width="4.5703125" style="202" customWidth="1"/>
    <col min="12034" max="12034" width="20.140625" style="202" customWidth="1"/>
    <col min="12035" max="12035" width="11.28515625" style="202" bestFit="1" customWidth="1"/>
    <col min="12036" max="12037" width="11.28515625" style="202" customWidth="1"/>
    <col min="12038" max="12042" width="11.28515625" style="202" bestFit="1" customWidth="1"/>
    <col min="12043" max="12288" width="11.42578125" style="202"/>
    <col min="12289" max="12289" width="4.5703125" style="202" customWidth="1"/>
    <col min="12290" max="12290" width="20.140625" style="202" customWidth="1"/>
    <col min="12291" max="12291" width="11.28515625" style="202" bestFit="1" customWidth="1"/>
    <col min="12292" max="12293" width="11.28515625" style="202" customWidth="1"/>
    <col min="12294" max="12298" width="11.28515625" style="202" bestFit="1" customWidth="1"/>
    <col min="12299" max="12544" width="11.42578125" style="202"/>
    <col min="12545" max="12545" width="4.5703125" style="202" customWidth="1"/>
    <col min="12546" max="12546" width="20.140625" style="202" customWidth="1"/>
    <col min="12547" max="12547" width="11.28515625" style="202" bestFit="1" customWidth="1"/>
    <col min="12548" max="12549" width="11.28515625" style="202" customWidth="1"/>
    <col min="12550" max="12554" width="11.28515625" style="202" bestFit="1" customWidth="1"/>
    <col min="12555" max="12800" width="11.42578125" style="202"/>
    <col min="12801" max="12801" width="4.5703125" style="202" customWidth="1"/>
    <col min="12802" max="12802" width="20.140625" style="202" customWidth="1"/>
    <col min="12803" max="12803" width="11.28515625" style="202" bestFit="1" customWidth="1"/>
    <col min="12804" max="12805" width="11.28515625" style="202" customWidth="1"/>
    <col min="12806" max="12810" width="11.28515625" style="202" bestFit="1" customWidth="1"/>
    <col min="12811" max="13056" width="11.42578125" style="202"/>
    <col min="13057" max="13057" width="4.5703125" style="202" customWidth="1"/>
    <col min="13058" max="13058" width="20.140625" style="202" customWidth="1"/>
    <col min="13059" max="13059" width="11.28515625" style="202" bestFit="1" customWidth="1"/>
    <col min="13060" max="13061" width="11.28515625" style="202" customWidth="1"/>
    <col min="13062" max="13066" width="11.28515625" style="202" bestFit="1" customWidth="1"/>
    <col min="13067" max="13312" width="11.42578125" style="202"/>
    <col min="13313" max="13313" width="4.5703125" style="202" customWidth="1"/>
    <col min="13314" max="13314" width="20.140625" style="202" customWidth="1"/>
    <col min="13315" max="13315" width="11.28515625" style="202" bestFit="1" customWidth="1"/>
    <col min="13316" max="13317" width="11.28515625" style="202" customWidth="1"/>
    <col min="13318" max="13322" width="11.28515625" style="202" bestFit="1" customWidth="1"/>
    <col min="13323" max="13568" width="11.42578125" style="202"/>
    <col min="13569" max="13569" width="4.5703125" style="202" customWidth="1"/>
    <col min="13570" max="13570" width="20.140625" style="202" customWidth="1"/>
    <col min="13571" max="13571" width="11.28515625" style="202" bestFit="1" customWidth="1"/>
    <col min="13572" max="13573" width="11.28515625" style="202" customWidth="1"/>
    <col min="13574" max="13578" width="11.28515625" style="202" bestFit="1" customWidth="1"/>
    <col min="13579" max="13824" width="11.42578125" style="202"/>
    <col min="13825" max="13825" width="4.5703125" style="202" customWidth="1"/>
    <col min="13826" max="13826" width="20.140625" style="202" customWidth="1"/>
    <col min="13827" max="13827" width="11.28515625" style="202" bestFit="1" customWidth="1"/>
    <col min="13828" max="13829" width="11.28515625" style="202" customWidth="1"/>
    <col min="13830" max="13834" width="11.28515625" style="202" bestFit="1" customWidth="1"/>
    <col min="13835" max="14080" width="11.42578125" style="202"/>
    <col min="14081" max="14081" width="4.5703125" style="202" customWidth="1"/>
    <col min="14082" max="14082" width="20.140625" style="202" customWidth="1"/>
    <col min="14083" max="14083" width="11.28515625" style="202" bestFit="1" customWidth="1"/>
    <col min="14084" max="14085" width="11.28515625" style="202" customWidth="1"/>
    <col min="14086" max="14090" width="11.28515625" style="202" bestFit="1" customWidth="1"/>
    <col min="14091" max="14336" width="11.42578125" style="202"/>
    <col min="14337" max="14337" width="4.5703125" style="202" customWidth="1"/>
    <col min="14338" max="14338" width="20.140625" style="202" customWidth="1"/>
    <col min="14339" max="14339" width="11.28515625" style="202" bestFit="1" customWidth="1"/>
    <col min="14340" max="14341" width="11.28515625" style="202" customWidth="1"/>
    <col min="14342" max="14346" width="11.28515625" style="202" bestFit="1" customWidth="1"/>
    <col min="14347" max="14592" width="11.42578125" style="202"/>
    <col min="14593" max="14593" width="4.5703125" style="202" customWidth="1"/>
    <col min="14594" max="14594" width="20.140625" style="202" customWidth="1"/>
    <col min="14595" max="14595" width="11.28515625" style="202" bestFit="1" customWidth="1"/>
    <col min="14596" max="14597" width="11.28515625" style="202" customWidth="1"/>
    <col min="14598" max="14602" width="11.28515625" style="202" bestFit="1" customWidth="1"/>
    <col min="14603" max="14848" width="11.42578125" style="202"/>
    <col min="14849" max="14849" width="4.5703125" style="202" customWidth="1"/>
    <col min="14850" max="14850" width="20.140625" style="202" customWidth="1"/>
    <col min="14851" max="14851" width="11.28515625" style="202" bestFit="1" customWidth="1"/>
    <col min="14852" max="14853" width="11.28515625" style="202" customWidth="1"/>
    <col min="14854" max="14858" width="11.28515625" style="202" bestFit="1" customWidth="1"/>
    <col min="14859" max="15104" width="11.42578125" style="202"/>
    <col min="15105" max="15105" width="4.5703125" style="202" customWidth="1"/>
    <col min="15106" max="15106" width="20.140625" style="202" customWidth="1"/>
    <col min="15107" max="15107" width="11.28515625" style="202" bestFit="1" customWidth="1"/>
    <col min="15108" max="15109" width="11.28515625" style="202" customWidth="1"/>
    <col min="15110" max="15114" width="11.28515625" style="202" bestFit="1" customWidth="1"/>
    <col min="15115" max="15360" width="11.42578125" style="202"/>
    <col min="15361" max="15361" width="4.5703125" style="202" customWidth="1"/>
    <col min="15362" max="15362" width="20.140625" style="202" customWidth="1"/>
    <col min="15363" max="15363" width="11.28515625" style="202" bestFit="1" customWidth="1"/>
    <col min="15364" max="15365" width="11.28515625" style="202" customWidth="1"/>
    <col min="15366" max="15370" width="11.28515625" style="202" bestFit="1" customWidth="1"/>
    <col min="15371" max="15616" width="11.42578125" style="202"/>
    <col min="15617" max="15617" width="4.5703125" style="202" customWidth="1"/>
    <col min="15618" max="15618" width="20.140625" style="202" customWidth="1"/>
    <col min="15619" max="15619" width="11.28515625" style="202" bestFit="1" customWidth="1"/>
    <col min="15620" max="15621" width="11.28515625" style="202" customWidth="1"/>
    <col min="15622" max="15626" width="11.28515625" style="202" bestFit="1" customWidth="1"/>
    <col min="15627" max="15872" width="11.42578125" style="202"/>
    <col min="15873" max="15873" width="4.5703125" style="202" customWidth="1"/>
    <col min="15874" max="15874" width="20.140625" style="202" customWidth="1"/>
    <col min="15875" max="15875" width="11.28515625" style="202" bestFit="1" customWidth="1"/>
    <col min="15876" max="15877" width="11.28515625" style="202" customWidth="1"/>
    <col min="15878" max="15882" width="11.28515625" style="202" bestFit="1" customWidth="1"/>
    <col min="15883" max="16128" width="11.42578125" style="202"/>
    <col min="16129" max="16129" width="4.5703125" style="202" customWidth="1"/>
    <col min="16130" max="16130" width="20.140625" style="202" customWidth="1"/>
    <col min="16131" max="16131" width="11.28515625" style="202" bestFit="1" customWidth="1"/>
    <col min="16132" max="16133" width="11.28515625" style="202" customWidth="1"/>
    <col min="16134" max="16138" width="11.28515625" style="202" bestFit="1" customWidth="1"/>
    <col min="16139" max="16384" width="11.42578125" style="202"/>
  </cols>
  <sheetData>
    <row r="2" spans="1:10" ht="36" x14ac:dyDescent="0.55000000000000004">
      <c r="B2" s="263" t="s">
        <v>183</v>
      </c>
    </row>
    <row r="3" spans="1:10" ht="15.75" thickBot="1" x14ac:dyDescent="0.3">
      <c r="A3" s="202" t="s">
        <v>184</v>
      </c>
    </row>
    <row r="4" spans="1:10" x14ac:dyDescent="0.25">
      <c r="A4" s="203"/>
      <c r="B4" s="203"/>
      <c r="C4" s="264">
        <v>34335</v>
      </c>
      <c r="D4" s="265">
        <v>34700</v>
      </c>
      <c r="E4" s="265">
        <f>+D5+1</f>
        <v>35065</v>
      </c>
      <c r="F4" s="265">
        <f>+E5+1</f>
        <v>35431</v>
      </c>
      <c r="G4" s="265">
        <v>35592</v>
      </c>
      <c r="H4" s="265">
        <f>+G5+1</f>
        <v>35796</v>
      </c>
      <c r="I4" s="265">
        <f>+H5+1</f>
        <v>36161</v>
      </c>
      <c r="J4" s="266">
        <f>+I5+1</f>
        <v>36526</v>
      </c>
    </row>
    <row r="5" spans="1:10" ht="15.75" thickBot="1" x14ac:dyDescent="0.3">
      <c r="A5" s="211" t="s">
        <v>185</v>
      </c>
      <c r="B5" s="211"/>
      <c r="C5" s="267">
        <v>34699</v>
      </c>
      <c r="D5" s="268">
        <v>35064</v>
      </c>
      <c r="E5" s="268">
        <f>+D5+366</f>
        <v>35430</v>
      </c>
      <c r="F5" s="268">
        <f>+G4-1</f>
        <v>35591</v>
      </c>
      <c r="G5" s="268">
        <v>35795</v>
      </c>
      <c r="H5" s="268">
        <f>+G5+365</f>
        <v>36160</v>
      </c>
      <c r="I5" s="268">
        <f>+H5+365</f>
        <v>36525</v>
      </c>
      <c r="J5" s="269">
        <v>36687</v>
      </c>
    </row>
    <row r="6" spans="1:10" x14ac:dyDescent="0.25">
      <c r="A6" s="211">
        <v>1</v>
      </c>
      <c r="B6" s="211" t="s">
        <v>186</v>
      </c>
      <c r="C6" s="213">
        <v>100452</v>
      </c>
      <c r="D6" s="213">
        <v>985444</v>
      </c>
      <c r="E6" s="213">
        <v>125432</v>
      </c>
      <c r="F6" s="213">
        <v>55455</v>
      </c>
      <c r="G6" s="213"/>
      <c r="H6" s="213"/>
      <c r="I6" s="213"/>
      <c r="J6" s="214"/>
    </row>
    <row r="7" spans="1:10" x14ac:dyDescent="0.25">
      <c r="A7" s="211">
        <v>2</v>
      </c>
      <c r="B7" s="211" t="s">
        <v>187</v>
      </c>
      <c r="C7" s="213">
        <v>56455</v>
      </c>
      <c r="D7" s="213">
        <v>69257</v>
      </c>
      <c r="E7" s="213">
        <v>59220</v>
      </c>
      <c r="F7" s="213">
        <v>32512</v>
      </c>
      <c r="G7" s="213">
        <v>34568</v>
      </c>
      <c r="H7" s="213"/>
      <c r="I7" s="213"/>
      <c r="J7" s="214"/>
    </row>
    <row r="8" spans="1:10" x14ac:dyDescent="0.25">
      <c r="A8" s="211">
        <v>3</v>
      </c>
      <c r="B8" s="211" t="s">
        <v>188</v>
      </c>
      <c r="C8" s="213">
        <v>180677</v>
      </c>
      <c r="D8" s="213">
        <v>185266</v>
      </c>
      <c r="E8" s="213">
        <v>190502</v>
      </c>
      <c r="F8" s="213">
        <v>89457</v>
      </c>
      <c r="G8" s="213">
        <v>32451</v>
      </c>
      <c r="H8" s="213"/>
      <c r="I8" s="213"/>
      <c r="J8" s="214"/>
    </row>
    <row r="9" spans="1:10" x14ac:dyDescent="0.25">
      <c r="A9" s="211">
        <v>4</v>
      </c>
      <c r="B9" s="211" t="s">
        <v>189</v>
      </c>
      <c r="C9" s="213">
        <v>258457</v>
      </c>
      <c r="D9" s="213">
        <v>270853</v>
      </c>
      <c r="E9" s="213">
        <v>253123</v>
      </c>
      <c r="F9" s="213">
        <v>100855</v>
      </c>
      <c r="G9" s="213">
        <v>85321</v>
      </c>
      <c r="H9" s="213">
        <v>85423</v>
      </c>
      <c r="I9" s="213">
        <v>89544</v>
      </c>
      <c r="J9" s="214">
        <v>42566</v>
      </c>
    </row>
    <row r="10" spans="1:10" x14ac:dyDescent="0.25">
      <c r="A10" s="211">
        <v>5</v>
      </c>
      <c r="B10" s="211" t="s">
        <v>190</v>
      </c>
      <c r="C10" s="213">
        <v>174222</v>
      </c>
      <c r="D10" s="213">
        <v>173500</v>
      </c>
      <c r="E10" s="213"/>
      <c r="F10" s="213"/>
      <c r="G10" s="213"/>
      <c r="H10" s="213"/>
      <c r="I10" s="213"/>
      <c r="J10" s="214"/>
    </row>
    <row r="11" spans="1:10" ht="15.75" thickBot="1" x14ac:dyDescent="0.3">
      <c r="A11" s="221"/>
      <c r="B11" s="270" t="s">
        <v>191</v>
      </c>
      <c r="C11" s="271">
        <f>SUM(C6:C10)</f>
        <v>770263</v>
      </c>
      <c r="D11" s="271">
        <f t="shared" ref="D11:J11" si="0">SUM(D6:D10)</f>
        <v>1684320</v>
      </c>
      <c r="E11" s="271">
        <f t="shared" si="0"/>
        <v>628277</v>
      </c>
      <c r="F11" s="271">
        <f t="shared" si="0"/>
        <v>278279</v>
      </c>
      <c r="G11" s="271">
        <f t="shared" si="0"/>
        <v>152340</v>
      </c>
      <c r="H11" s="271">
        <f t="shared" si="0"/>
        <v>85423</v>
      </c>
      <c r="I11" s="271">
        <f t="shared" si="0"/>
        <v>89544</v>
      </c>
      <c r="J11" s="272">
        <f t="shared" si="0"/>
        <v>42566</v>
      </c>
    </row>
    <row r="14" spans="1:10" ht="15.75" thickBot="1" x14ac:dyDescent="0.3">
      <c r="A14" s="202" t="s">
        <v>192</v>
      </c>
    </row>
    <row r="15" spans="1:10" x14ac:dyDescent="0.25">
      <c r="A15" s="203"/>
      <c r="B15" s="203"/>
      <c r="C15" s="264">
        <v>34335</v>
      </c>
      <c r="D15" s="265">
        <v>34700</v>
      </c>
      <c r="E15" s="265">
        <f>+D16+1</f>
        <v>35065</v>
      </c>
      <c r="F15" s="265">
        <f>+E16+1</f>
        <v>35431</v>
      </c>
      <c r="G15" s="265">
        <v>35592</v>
      </c>
      <c r="H15" s="265">
        <f>+G16+1</f>
        <v>35796</v>
      </c>
      <c r="I15" s="265">
        <f>+H16+1</f>
        <v>36161</v>
      </c>
      <c r="J15" s="266">
        <f>+I16+1</f>
        <v>36526</v>
      </c>
    </row>
    <row r="16" spans="1:10" ht="15.75" thickBot="1" x14ac:dyDescent="0.3">
      <c r="A16" s="211" t="s">
        <v>185</v>
      </c>
      <c r="B16" s="211"/>
      <c r="C16" s="267">
        <v>34699</v>
      </c>
      <c r="D16" s="268">
        <v>35064</v>
      </c>
      <c r="E16" s="268">
        <f>+D16+366</f>
        <v>35430</v>
      </c>
      <c r="F16" s="268">
        <f>+G15-1</f>
        <v>35591</v>
      </c>
      <c r="G16" s="268">
        <v>35795</v>
      </c>
      <c r="H16" s="268">
        <f>+G16+365</f>
        <v>36160</v>
      </c>
      <c r="I16" s="268">
        <f>+H16+365</f>
        <v>36525</v>
      </c>
      <c r="J16" s="269">
        <v>36687</v>
      </c>
    </row>
    <row r="17" spans="1:10" x14ac:dyDescent="0.25">
      <c r="A17" s="211">
        <v>1</v>
      </c>
      <c r="B17" s="211" t="s">
        <v>186</v>
      </c>
      <c r="C17" s="273"/>
      <c r="D17" s="273"/>
      <c r="E17" s="273"/>
      <c r="F17" s="273"/>
      <c r="G17" s="213">
        <v>68502</v>
      </c>
      <c r="H17" s="213">
        <v>123457</v>
      </c>
      <c r="I17" s="213">
        <v>98452</v>
      </c>
      <c r="J17" s="214">
        <v>59980</v>
      </c>
    </row>
    <row r="18" spans="1:10" x14ac:dyDescent="0.25">
      <c r="A18" s="211">
        <v>2</v>
      </c>
      <c r="B18" s="211" t="s">
        <v>187</v>
      </c>
      <c r="C18" s="273"/>
      <c r="D18" s="273"/>
      <c r="E18" s="273"/>
      <c r="F18" s="273"/>
      <c r="G18" s="213"/>
      <c r="H18" s="213">
        <v>64674</v>
      </c>
      <c r="I18" s="213">
        <v>70800</v>
      </c>
      <c r="J18" s="214">
        <v>40881</v>
      </c>
    </row>
    <row r="19" spans="1:10" x14ac:dyDescent="0.25">
      <c r="A19" s="211">
        <v>3</v>
      </c>
      <c r="B19" s="211" t="s">
        <v>188</v>
      </c>
      <c r="C19" s="273"/>
      <c r="D19" s="273"/>
      <c r="E19" s="273"/>
      <c r="F19" s="273"/>
      <c r="G19" s="213">
        <v>1000</v>
      </c>
      <c r="H19" s="213"/>
      <c r="I19" s="213"/>
      <c r="J19" s="214"/>
    </row>
    <row r="20" spans="1:10" x14ac:dyDescent="0.25">
      <c r="A20" s="211">
        <v>4</v>
      </c>
      <c r="B20" s="211" t="s">
        <v>189</v>
      </c>
      <c r="C20" s="273"/>
      <c r="D20" s="273"/>
      <c r="E20" s="273"/>
      <c r="F20" s="273"/>
      <c r="G20" s="213">
        <v>20300</v>
      </c>
      <c r="H20" s="213">
        <v>90485</v>
      </c>
      <c r="I20" s="213">
        <v>100842</v>
      </c>
      <c r="J20" s="214">
        <v>60352</v>
      </c>
    </row>
    <row r="21" spans="1:10" x14ac:dyDescent="0.25">
      <c r="A21" s="211">
        <v>5</v>
      </c>
      <c r="B21" s="211" t="s">
        <v>190</v>
      </c>
      <c r="C21" s="273"/>
      <c r="D21" s="273"/>
      <c r="E21" s="273"/>
      <c r="F21" s="273"/>
      <c r="G21" s="213"/>
      <c r="H21" s="213">
        <v>156423</v>
      </c>
      <c r="I21" s="213">
        <v>180990</v>
      </c>
      <c r="J21" s="214">
        <v>102043</v>
      </c>
    </row>
    <row r="22" spans="1:10" ht="15.75" thickBot="1" x14ac:dyDescent="0.3">
      <c r="A22" s="221"/>
      <c r="B22" s="270" t="s">
        <v>191</v>
      </c>
      <c r="C22" s="271"/>
      <c r="D22" s="271"/>
      <c r="E22" s="271"/>
      <c r="F22" s="271"/>
      <c r="G22" s="271">
        <f>SUM(G17:G21)</f>
        <v>89802</v>
      </c>
      <c r="H22" s="271">
        <f>SUM(H17:H21)</f>
        <v>435039</v>
      </c>
      <c r="I22" s="271">
        <f>SUM(I17:I21)</f>
        <v>451084</v>
      </c>
      <c r="J22" s="272">
        <f>SUM(J17:J21)</f>
        <v>263256</v>
      </c>
    </row>
    <row r="24" spans="1:10" ht="23.25" x14ac:dyDescent="0.35">
      <c r="A24" s="274" t="s">
        <v>193</v>
      </c>
    </row>
    <row r="26" spans="1:10" ht="15.75" thickBot="1" x14ac:dyDescent="0.3">
      <c r="A26" s="202" t="s">
        <v>194</v>
      </c>
    </row>
    <row r="27" spans="1:10" x14ac:dyDescent="0.25">
      <c r="A27" s="203"/>
      <c r="B27" s="203"/>
      <c r="C27" s="264">
        <v>34335</v>
      </c>
      <c r="D27" s="265">
        <v>34700</v>
      </c>
      <c r="E27" s="265">
        <f>+D28+1</f>
        <v>35065</v>
      </c>
      <c r="F27" s="265">
        <f>+E28+1</f>
        <v>35431</v>
      </c>
      <c r="G27" s="265">
        <v>35592</v>
      </c>
      <c r="H27" s="265">
        <f>+G28+1</f>
        <v>35796</v>
      </c>
      <c r="I27" s="265">
        <f>+H28+1</f>
        <v>36161</v>
      </c>
      <c r="J27" s="266">
        <f>+I28+1</f>
        <v>36526</v>
      </c>
    </row>
    <row r="28" spans="1:10" ht="15.75" thickBot="1" x14ac:dyDescent="0.3">
      <c r="A28" s="211" t="s">
        <v>185</v>
      </c>
      <c r="B28" s="211"/>
      <c r="C28" s="267">
        <v>34699</v>
      </c>
      <c r="D28" s="268">
        <v>35064</v>
      </c>
      <c r="E28" s="268">
        <f>+D28+366</f>
        <v>35430</v>
      </c>
      <c r="F28" s="268">
        <f>+G27-1</f>
        <v>35591</v>
      </c>
      <c r="G28" s="268">
        <v>35795</v>
      </c>
      <c r="H28" s="268">
        <f>+G28+365</f>
        <v>36160</v>
      </c>
      <c r="I28" s="268">
        <f>+H28+365</f>
        <v>36525</v>
      </c>
      <c r="J28" s="269">
        <v>36687</v>
      </c>
    </row>
    <row r="29" spans="1:10" x14ac:dyDescent="0.25">
      <c r="A29" s="211">
        <v>1</v>
      </c>
      <c r="B29" s="211" t="s">
        <v>186</v>
      </c>
      <c r="C29" s="273"/>
      <c r="D29" s="273"/>
      <c r="E29" s="273"/>
      <c r="F29" s="273"/>
      <c r="G29" s="213">
        <f>+G17</f>
        <v>68502</v>
      </c>
      <c r="H29" s="213">
        <f>+H17</f>
        <v>123457</v>
      </c>
      <c r="I29" s="213">
        <f>+I17</f>
        <v>98452</v>
      </c>
      <c r="J29" s="214">
        <f>+J17</f>
        <v>59980</v>
      </c>
    </row>
    <row r="30" spans="1:10" x14ac:dyDescent="0.25">
      <c r="A30" s="211">
        <v>2</v>
      </c>
      <c r="B30" s="211" t="s">
        <v>187</v>
      </c>
      <c r="C30" s="273"/>
      <c r="D30" s="273"/>
      <c r="E30" s="273"/>
      <c r="F30" s="273"/>
      <c r="G30" s="213">
        <f t="shared" ref="G30:J31" si="1">+G18</f>
        <v>0</v>
      </c>
      <c r="H30" s="213">
        <f t="shared" si="1"/>
        <v>64674</v>
      </c>
      <c r="I30" s="213">
        <f t="shared" si="1"/>
        <v>70800</v>
      </c>
      <c r="J30" s="214">
        <f t="shared" si="1"/>
        <v>40881</v>
      </c>
    </row>
    <row r="31" spans="1:10" x14ac:dyDescent="0.25">
      <c r="A31" s="211">
        <v>3</v>
      </c>
      <c r="B31" s="211" t="s">
        <v>188</v>
      </c>
      <c r="C31" s="273"/>
      <c r="D31" s="273"/>
      <c r="E31" s="273"/>
      <c r="F31" s="273"/>
      <c r="G31" s="213">
        <f t="shared" si="1"/>
        <v>1000</v>
      </c>
      <c r="H31" s="213">
        <f t="shared" si="1"/>
        <v>0</v>
      </c>
      <c r="I31" s="213">
        <f t="shared" si="1"/>
        <v>0</v>
      </c>
      <c r="J31" s="214">
        <f t="shared" si="1"/>
        <v>0</v>
      </c>
    </row>
    <row r="32" spans="1:10" x14ac:dyDescent="0.25">
      <c r="A32" s="211">
        <v>4</v>
      </c>
      <c r="B32" s="211" t="s">
        <v>189</v>
      </c>
      <c r="C32" s="273"/>
      <c r="D32" s="273"/>
      <c r="E32" s="273"/>
      <c r="F32" s="273"/>
      <c r="G32" s="213">
        <f>+G20</f>
        <v>20300</v>
      </c>
      <c r="H32" s="213">
        <f>+H20</f>
        <v>90485</v>
      </c>
      <c r="I32" s="213">
        <f>+I20</f>
        <v>100842</v>
      </c>
      <c r="J32" s="214">
        <f>+J20</f>
        <v>60352</v>
      </c>
    </row>
    <row r="33" spans="1:10" x14ac:dyDescent="0.25">
      <c r="A33" s="211">
        <v>5</v>
      </c>
      <c r="B33" s="211" t="s">
        <v>190</v>
      </c>
      <c r="C33" s="273"/>
      <c r="D33" s="273"/>
      <c r="E33" s="273"/>
      <c r="F33" s="273"/>
      <c r="G33" s="286"/>
      <c r="H33" s="286"/>
      <c r="I33" s="286"/>
      <c r="J33" s="287"/>
    </row>
    <row r="34" spans="1:10" ht="15.75" thickBot="1" x14ac:dyDescent="0.3">
      <c r="A34" s="221"/>
      <c r="B34" s="270" t="s">
        <v>191</v>
      </c>
      <c r="C34" s="271"/>
      <c r="D34" s="271"/>
      <c r="E34" s="271"/>
      <c r="F34" s="271"/>
      <c r="G34" s="271">
        <f>SUM(G29:G33)</f>
        <v>89802</v>
      </c>
      <c r="H34" s="271">
        <f>SUM(H29:H33)</f>
        <v>278616</v>
      </c>
      <c r="I34" s="271">
        <f>SUM(I29:I33)</f>
        <v>270094</v>
      </c>
      <c r="J34" s="272">
        <f>SUM(J29:J33)</f>
        <v>161213</v>
      </c>
    </row>
    <row r="36" spans="1:10" ht="15.75" thickBot="1" x14ac:dyDescent="0.3"/>
    <row r="37" spans="1:10" ht="15.75" thickBot="1" x14ac:dyDescent="0.3">
      <c r="A37" s="202" t="s">
        <v>195</v>
      </c>
      <c r="G37" s="275">
        <v>1997</v>
      </c>
      <c r="H37" s="276">
        <v>1998</v>
      </c>
      <c r="I37" s="276">
        <v>1999</v>
      </c>
      <c r="J37" s="277">
        <v>2000</v>
      </c>
    </row>
    <row r="38" spans="1:10" ht="15.75" thickBot="1" x14ac:dyDescent="0.3">
      <c r="A38" s="202" t="s">
        <v>196</v>
      </c>
    </row>
    <row r="39" spans="1:10" x14ac:dyDescent="0.25">
      <c r="A39" s="203"/>
      <c r="B39" s="203"/>
      <c r="C39" s="264">
        <v>34335</v>
      </c>
      <c r="D39" s="265">
        <v>34700</v>
      </c>
      <c r="E39" s="265">
        <f>+D40+1</f>
        <v>35065</v>
      </c>
      <c r="F39" s="265">
        <f>+E40+1</f>
        <v>35431</v>
      </c>
      <c r="G39" s="265">
        <v>35592</v>
      </c>
      <c r="H39" s="265">
        <f>+G40+1</f>
        <v>35796</v>
      </c>
      <c r="I39" s="265">
        <f>+H40+1</f>
        <v>36161</v>
      </c>
      <c r="J39" s="266">
        <f>+I40+1</f>
        <v>36526</v>
      </c>
    </row>
    <row r="40" spans="1:10" ht="15.75" thickBot="1" x14ac:dyDescent="0.3">
      <c r="A40" s="211"/>
      <c r="B40" s="211"/>
      <c r="C40" s="278">
        <v>34699</v>
      </c>
      <c r="D40" s="279">
        <v>35064</v>
      </c>
      <c r="E40" s="279">
        <f>+D40+366</f>
        <v>35430</v>
      </c>
      <c r="F40" s="279">
        <f>+G39-1</f>
        <v>35591</v>
      </c>
      <c r="G40" s="279">
        <v>35795</v>
      </c>
      <c r="H40" s="279">
        <f>+G40+365</f>
        <v>36160</v>
      </c>
      <c r="I40" s="279">
        <f>+H40+365</f>
        <v>36525</v>
      </c>
      <c r="J40" s="280">
        <v>36687</v>
      </c>
    </row>
    <row r="41" spans="1:10" x14ac:dyDescent="0.25">
      <c r="A41" s="211"/>
      <c r="B41" s="203" t="s">
        <v>197</v>
      </c>
      <c r="C41" s="281"/>
      <c r="D41" s="281"/>
      <c r="E41" s="281"/>
      <c r="F41" s="281"/>
      <c r="G41" s="282">
        <f>+G34</f>
        <v>89802</v>
      </c>
      <c r="H41" s="282">
        <f>+H34</f>
        <v>278616</v>
      </c>
      <c r="I41" s="282">
        <f>+I34</f>
        <v>270094</v>
      </c>
      <c r="J41" s="283">
        <f>+J34</f>
        <v>161213</v>
      </c>
    </row>
    <row r="42" spans="1:10" x14ac:dyDescent="0.25">
      <c r="A42" s="211"/>
      <c r="B42" s="211" t="s">
        <v>196</v>
      </c>
      <c r="C42" s="273"/>
      <c r="D42" s="273"/>
      <c r="E42" s="273"/>
      <c r="F42" s="273"/>
      <c r="G42" s="284">
        <v>0.3190302174506931</v>
      </c>
      <c r="H42" s="284">
        <v>0.26660233971463432</v>
      </c>
      <c r="I42" s="284">
        <v>0.29417731840092087</v>
      </c>
      <c r="J42" s="285">
        <v>0.4005584696590016</v>
      </c>
    </row>
    <row r="43" spans="1:10" ht="15.75" thickBot="1" x14ac:dyDescent="0.3">
      <c r="A43" s="221"/>
      <c r="B43" s="221" t="s">
        <v>10</v>
      </c>
      <c r="C43" s="271"/>
      <c r="D43" s="271"/>
      <c r="E43" s="271"/>
      <c r="F43" s="271"/>
      <c r="G43" s="271">
        <f>+G41*G42</f>
        <v>28649.551587507143</v>
      </c>
      <c r="H43" s="271">
        <f>+H41*H42</f>
        <v>74279.677481932551</v>
      </c>
      <c r="I43" s="271">
        <f>+I41*I42</f>
        <v>79455.528636178322</v>
      </c>
      <c r="J43" s="272">
        <f>+J41*J42</f>
        <v>64575.232569136628</v>
      </c>
    </row>
    <row r="45" spans="1:10" x14ac:dyDescent="0.25">
      <c r="B45" s="202" t="s">
        <v>198</v>
      </c>
    </row>
    <row r="46" spans="1:10" x14ac:dyDescent="0.25">
      <c r="B46" s="202" t="s">
        <v>199</v>
      </c>
    </row>
    <row r="47" spans="1:10" x14ac:dyDescent="0.25">
      <c r="B47" s="202" t="s">
        <v>203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B5" sqref="B5"/>
    </sheetView>
  </sheetViews>
  <sheetFormatPr baseColWidth="10" defaultColWidth="11.42578125" defaultRowHeight="15" x14ac:dyDescent="0.25"/>
  <cols>
    <col min="2" max="2" width="39.7109375" customWidth="1"/>
    <col min="3" max="3" width="56.28515625" style="137" customWidth="1"/>
    <col min="4" max="4" width="28.28515625" customWidth="1"/>
    <col min="5" max="5" width="18.7109375" customWidth="1"/>
    <col min="258" max="258" width="39.7109375" customWidth="1"/>
    <col min="259" max="259" width="56.28515625" customWidth="1"/>
    <col min="260" max="260" width="28.28515625" customWidth="1"/>
    <col min="261" max="261" width="18.7109375" customWidth="1"/>
    <col min="514" max="514" width="39.7109375" customWidth="1"/>
    <col min="515" max="515" width="56.28515625" customWidth="1"/>
    <col min="516" max="516" width="28.28515625" customWidth="1"/>
    <col min="517" max="517" width="18.7109375" customWidth="1"/>
    <col min="770" max="770" width="39.7109375" customWidth="1"/>
    <col min="771" max="771" width="56.28515625" customWidth="1"/>
    <col min="772" max="772" width="28.28515625" customWidth="1"/>
    <col min="773" max="773" width="18.7109375" customWidth="1"/>
    <col min="1026" max="1026" width="39.7109375" customWidth="1"/>
    <col min="1027" max="1027" width="56.28515625" customWidth="1"/>
    <col min="1028" max="1028" width="28.28515625" customWidth="1"/>
    <col min="1029" max="1029" width="18.7109375" customWidth="1"/>
    <col min="1282" max="1282" width="39.7109375" customWidth="1"/>
    <col min="1283" max="1283" width="56.28515625" customWidth="1"/>
    <col min="1284" max="1284" width="28.28515625" customWidth="1"/>
    <col min="1285" max="1285" width="18.7109375" customWidth="1"/>
    <col min="1538" max="1538" width="39.7109375" customWidth="1"/>
    <col min="1539" max="1539" width="56.28515625" customWidth="1"/>
    <col min="1540" max="1540" width="28.28515625" customWidth="1"/>
    <col min="1541" max="1541" width="18.7109375" customWidth="1"/>
    <col min="1794" max="1794" width="39.7109375" customWidth="1"/>
    <col min="1795" max="1795" width="56.28515625" customWidth="1"/>
    <col min="1796" max="1796" width="28.28515625" customWidth="1"/>
    <col min="1797" max="1797" width="18.7109375" customWidth="1"/>
    <col min="2050" max="2050" width="39.7109375" customWidth="1"/>
    <col min="2051" max="2051" width="56.28515625" customWidth="1"/>
    <col min="2052" max="2052" width="28.28515625" customWidth="1"/>
    <col min="2053" max="2053" width="18.7109375" customWidth="1"/>
    <col min="2306" max="2306" width="39.7109375" customWidth="1"/>
    <col min="2307" max="2307" width="56.28515625" customWidth="1"/>
    <col min="2308" max="2308" width="28.28515625" customWidth="1"/>
    <col min="2309" max="2309" width="18.7109375" customWidth="1"/>
    <col min="2562" max="2562" width="39.7109375" customWidth="1"/>
    <col min="2563" max="2563" width="56.28515625" customWidth="1"/>
    <col min="2564" max="2564" width="28.28515625" customWidth="1"/>
    <col min="2565" max="2565" width="18.7109375" customWidth="1"/>
    <col min="2818" max="2818" width="39.7109375" customWidth="1"/>
    <col min="2819" max="2819" width="56.28515625" customWidth="1"/>
    <col min="2820" max="2820" width="28.28515625" customWidth="1"/>
    <col min="2821" max="2821" width="18.7109375" customWidth="1"/>
    <col min="3074" max="3074" width="39.7109375" customWidth="1"/>
    <col min="3075" max="3075" width="56.28515625" customWidth="1"/>
    <col min="3076" max="3076" width="28.28515625" customWidth="1"/>
    <col min="3077" max="3077" width="18.7109375" customWidth="1"/>
    <col min="3330" max="3330" width="39.7109375" customWidth="1"/>
    <col min="3331" max="3331" width="56.28515625" customWidth="1"/>
    <col min="3332" max="3332" width="28.28515625" customWidth="1"/>
    <col min="3333" max="3333" width="18.7109375" customWidth="1"/>
    <col min="3586" max="3586" width="39.7109375" customWidth="1"/>
    <col min="3587" max="3587" width="56.28515625" customWidth="1"/>
    <col min="3588" max="3588" width="28.28515625" customWidth="1"/>
    <col min="3589" max="3589" width="18.7109375" customWidth="1"/>
    <col min="3842" max="3842" width="39.7109375" customWidth="1"/>
    <col min="3843" max="3843" width="56.28515625" customWidth="1"/>
    <col min="3844" max="3844" width="28.28515625" customWidth="1"/>
    <col min="3845" max="3845" width="18.7109375" customWidth="1"/>
    <col min="4098" max="4098" width="39.7109375" customWidth="1"/>
    <col min="4099" max="4099" width="56.28515625" customWidth="1"/>
    <col min="4100" max="4100" width="28.28515625" customWidth="1"/>
    <col min="4101" max="4101" width="18.7109375" customWidth="1"/>
    <col min="4354" max="4354" width="39.7109375" customWidth="1"/>
    <col min="4355" max="4355" width="56.28515625" customWidth="1"/>
    <col min="4356" max="4356" width="28.28515625" customWidth="1"/>
    <col min="4357" max="4357" width="18.7109375" customWidth="1"/>
    <col min="4610" max="4610" width="39.7109375" customWidth="1"/>
    <col min="4611" max="4611" width="56.28515625" customWidth="1"/>
    <col min="4612" max="4612" width="28.28515625" customWidth="1"/>
    <col min="4613" max="4613" width="18.7109375" customWidth="1"/>
    <col min="4866" max="4866" width="39.7109375" customWidth="1"/>
    <col min="4867" max="4867" width="56.28515625" customWidth="1"/>
    <col min="4868" max="4868" width="28.28515625" customWidth="1"/>
    <col min="4869" max="4869" width="18.7109375" customWidth="1"/>
    <col min="5122" max="5122" width="39.7109375" customWidth="1"/>
    <col min="5123" max="5123" width="56.28515625" customWidth="1"/>
    <col min="5124" max="5124" width="28.28515625" customWidth="1"/>
    <col min="5125" max="5125" width="18.7109375" customWidth="1"/>
    <col min="5378" max="5378" width="39.7109375" customWidth="1"/>
    <col min="5379" max="5379" width="56.28515625" customWidth="1"/>
    <col min="5380" max="5380" width="28.28515625" customWidth="1"/>
    <col min="5381" max="5381" width="18.7109375" customWidth="1"/>
    <col min="5634" max="5634" width="39.7109375" customWidth="1"/>
    <col min="5635" max="5635" width="56.28515625" customWidth="1"/>
    <col min="5636" max="5636" width="28.28515625" customWidth="1"/>
    <col min="5637" max="5637" width="18.7109375" customWidth="1"/>
    <col min="5890" max="5890" width="39.7109375" customWidth="1"/>
    <col min="5891" max="5891" width="56.28515625" customWidth="1"/>
    <col min="5892" max="5892" width="28.28515625" customWidth="1"/>
    <col min="5893" max="5893" width="18.7109375" customWidth="1"/>
    <col min="6146" max="6146" width="39.7109375" customWidth="1"/>
    <col min="6147" max="6147" width="56.28515625" customWidth="1"/>
    <col min="6148" max="6148" width="28.28515625" customWidth="1"/>
    <col min="6149" max="6149" width="18.7109375" customWidth="1"/>
    <col min="6402" max="6402" width="39.7109375" customWidth="1"/>
    <col min="6403" max="6403" width="56.28515625" customWidth="1"/>
    <col min="6404" max="6404" width="28.28515625" customWidth="1"/>
    <col min="6405" max="6405" width="18.7109375" customWidth="1"/>
    <col min="6658" max="6658" width="39.7109375" customWidth="1"/>
    <col min="6659" max="6659" width="56.28515625" customWidth="1"/>
    <col min="6660" max="6660" width="28.28515625" customWidth="1"/>
    <col min="6661" max="6661" width="18.7109375" customWidth="1"/>
    <col min="6914" max="6914" width="39.7109375" customWidth="1"/>
    <col min="6915" max="6915" width="56.28515625" customWidth="1"/>
    <col min="6916" max="6916" width="28.28515625" customWidth="1"/>
    <col min="6917" max="6917" width="18.7109375" customWidth="1"/>
    <col min="7170" max="7170" width="39.7109375" customWidth="1"/>
    <col min="7171" max="7171" width="56.28515625" customWidth="1"/>
    <col min="7172" max="7172" width="28.28515625" customWidth="1"/>
    <col min="7173" max="7173" width="18.7109375" customWidth="1"/>
    <col min="7426" max="7426" width="39.7109375" customWidth="1"/>
    <col min="7427" max="7427" width="56.28515625" customWidth="1"/>
    <col min="7428" max="7428" width="28.28515625" customWidth="1"/>
    <col min="7429" max="7429" width="18.7109375" customWidth="1"/>
    <col min="7682" max="7682" width="39.7109375" customWidth="1"/>
    <col min="7683" max="7683" width="56.28515625" customWidth="1"/>
    <col min="7684" max="7684" width="28.28515625" customWidth="1"/>
    <col min="7685" max="7685" width="18.7109375" customWidth="1"/>
    <col min="7938" max="7938" width="39.7109375" customWidth="1"/>
    <col min="7939" max="7939" width="56.28515625" customWidth="1"/>
    <col min="7940" max="7940" width="28.28515625" customWidth="1"/>
    <col min="7941" max="7941" width="18.7109375" customWidth="1"/>
    <col min="8194" max="8194" width="39.7109375" customWidth="1"/>
    <col min="8195" max="8195" width="56.28515625" customWidth="1"/>
    <col min="8196" max="8196" width="28.28515625" customWidth="1"/>
    <col min="8197" max="8197" width="18.7109375" customWidth="1"/>
    <col min="8450" max="8450" width="39.7109375" customWidth="1"/>
    <col min="8451" max="8451" width="56.28515625" customWidth="1"/>
    <col min="8452" max="8452" width="28.28515625" customWidth="1"/>
    <col min="8453" max="8453" width="18.7109375" customWidth="1"/>
    <col min="8706" max="8706" width="39.7109375" customWidth="1"/>
    <col min="8707" max="8707" width="56.28515625" customWidth="1"/>
    <col min="8708" max="8708" width="28.28515625" customWidth="1"/>
    <col min="8709" max="8709" width="18.7109375" customWidth="1"/>
    <col min="8962" max="8962" width="39.7109375" customWidth="1"/>
    <col min="8963" max="8963" width="56.28515625" customWidth="1"/>
    <col min="8964" max="8964" width="28.28515625" customWidth="1"/>
    <col min="8965" max="8965" width="18.7109375" customWidth="1"/>
    <col min="9218" max="9218" width="39.7109375" customWidth="1"/>
    <col min="9219" max="9219" width="56.28515625" customWidth="1"/>
    <col min="9220" max="9220" width="28.28515625" customWidth="1"/>
    <col min="9221" max="9221" width="18.7109375" customWidth="1"/>
    <col min="9474" max="9474" width="39.7109375" customWidth="1"/>
    <col min="9475" max="9475" width="56.28515625" customWidth="1"/>
    <col min="9476" max="9476" width="28.28515625" customWidth="1"/>
    <col min="9477" max="9477" width="18.7109375" customWidth="1"/>
    <col min="9730" max="9730" width="39.7109375" customWidth="1"/>
    <col min="9731" max="9731" width="56.28515625" customWidth="1"/>
    <col min="9732" max="9732" width="28.28515625" customWidth="1"/>
    <col min="9733" max="9733" width="18.7109375" customWidth="1"/>
    <col min="9986" max="9986" width="39.7109375" customWidth="1"/>
    <col min="9987" max="9987" width="56.28515625" customWidth="1"/>
    <col min="9988" max="9988" width="28.28515625" customWidth="1"/>
    <col min="9989" max="9989" width="18.7109375" customWidth="1"/>
    <col min="10242" max="10242" width="39.7109375" customWidth="1"/>
    <col min="10243" max="10243" width="56.28515625" customWidth="1"/>
    <col min="10244" max="10244" width="28.28515625" customWidth="1"/>
    <col min="10245" max="10245" width="18.7109375" customWidth="1"/>
    <col min="10498" max="10498" width="39.7109375" customWidth="1"/>
    <col min="10499" max="10499" width="56.28515625" customWidth="1"/>
    <col min="10500" max="10500" width="28.28515625" customWidth="1"/>
    <col min="10501" max="10501" width="18.7109375" customWidth="1"/>
    <col min="10754" max="10754" width="39.7109375" customWidth="1"/>
    <col min="10755" max="10755" width="56.28515625" customWidth="1"/>
    <col min="10756" max="10756" width="28.28515625" customWidth="1"/>
    <col min="10757" max="10757" width="18.7109375" customWidth="1"/>
    <col min="11010" max="11010" width="39.7109375" customWidth="1"/>
    <col min="11011" max="11011" width="56.28515625" customWidth="1"/>
    <col min="11012" max="11012" width="28.28515625" customWidth="1"/>
    <col min="11013" max="11013" width="18.7109375" customWidth="1"/>
    <col min="11266" max="11266" width="39.7109375" customWidth="1"/>
    <col min="11267" max="11267" width="56.28515625" customWidth="1"/>
    <col min="11268" max="11268" width="28.28515625" customWidth="1"/>
    <col min="11269" max="11269" width="18.7109375" customWidth="1"/>
    <col min="11522" max="11522" width="39.7109375" customWidth="1"/>
    <col min="11523" max="11523" width="56.28515625" customWidth="1"/>
    <col min="11524" max="11524" width="28.28515625" customWidth="1"/>
    <col min="11525" max="11525" width="18.7109375" customWidth="1"/>
    <col min="11778" max="11778" width="39.7109375" customWidth="1"/>
    <col min="11779" max="11779" width="56.28515625" customWidth="1"/>
    <col min="11780" max="11780" width="28.28515625" customWidth="1"/>
    <col min="11781" max="11781" width="18.7109375" customWidth="1"/>
    <col min="12034" max="12034" width="39.7109375" customWidth="1"/>
    <col min="12035" max="12035" width="56.28515625" customWidth="1"/>
    <col min="12036" max="12036" width="28.28515625" customWidth="1"/>
    <col min="12037" max="12037" width="18.7109375" customWidth="1"/>
    <col min="12290" max="12290" width="39.7109375" customWidth="1"/>
    <col min="12291" max="12291" width="56.28515625" customWidth="1"/>
    <col min="12292" max="12292" width="28.28515625" customWidth="1"/>
    <col min="12293" max="12293" width="18.7109375" customWidth="1"/>
    <col min="12546" max="12546" width="39.7109375" customWidth="1"/>
    <col min="12547" max="12547" width="56.28515625" customWidth="1"/>
    <col min="12548" max="12548" width="28.28515625" customWidth="1"/>
    <col min="12549" max="12549" width="18.7109375" customWidth="1"/>
    <col min="12802" max="12802" width="39.7109375" customWidth="1"/>
    <col min="12803" max="12803" width="56.28515625" customWidth="1"/>
    <col min="12804" max="12804" width="28.28515625" customWidth="1"/>
    <col min="12805" max="12805" width="18.7109375" customWidth="1"/>
    <col min="13058" max="13058" width="39.7109375" customWidth="1"/>
    <col min="13059" max="13059" width="56.28515625" customWidth="1"/>
    <col min="13060" max="13060" width="28.28515625" customWidth="1"/>
    <col min="13061" max="13061" width="18.7109375" customWidth="1"/>
    <col min="13314" max="13314" width="39.7109375" customWidth="1"/>
    <col min="13315" max="13315" width="56.28515625" customWidth="1"/>
    <col min="13316" max="13316" width="28.28515625" customWidth="1"/>
    <col min="13317" max="13317" width="18.7109375" customWidth="1"/>
    <col min="13570" max="13570" width="39.7109375" customWidth="1"/>
    <col min="13571" max="13571" width="56.28515625" customWidth="1"/>
    <col min="13572" max="13572" width="28.28515625" customWidth="1"/>
    <col min="13573" max="13573" width="18.7109375" customWidth="1"/>
    <col min="13826" max="13826" width="39.7109375" customWidth="1"/>
    <col min="13827" max="13827" width="56.28515625" customWidth="1"/>
    <col min="13828" max="13828" width="28.28515625" customWidth="1"/>
    <col min="13829" max="13829" width="18.7109375" customWidth="1"/>
    <col min="14082" max="14082" width="39.7109375" customWidth="1"/>
    <col min="14083" max="14083" width="56.28515625" customWidth="1"/>
    <col min="14084" max="14084" width="28.28515625" customWidth="1"/>
    <col min="14085" max="14085" width="18.7109375" customWidth="1"/>
    <col min="14338" max="14338" width="39.7109375" customWidth="1"/>
    <col min="14339" max="14339" width="56.28515625" customWidth="1"/>
    <col min="14340" max="14340" width="28.28515625" customWidth="1"/>
    <col min="14341" max="14341" width="18.7109375" customWidth="1"/>
    <col min="14594" max="14594" width="39.7109375" customWidth="1"/>
    <col min="14595" max="14595" width="56.28515625" customWidth="1"/>
    <col min="14596" max="14596" width="28.28515625" customWidth="1"/>
    <col min="14597" max="14597" width="18.7109375" customWidth="1"/>
    <col min="14850" max="14850" width="39.7109375" customWidth="1"/>
    <col min="14851" max="14851" width="56.28515625" customWidth="1"/>
    <col min="14852" max="14852" width="28.28515625" customWidth="1"/>
    <col min="14853" max="14853" width="18.7109375" customWidth="1"/>
    <col min="15106" max="15106" width="39.7109375" customWidth="1"/>
    <col min="15107" max="15107" width="56.28515625" customWidth="1"/>
    <col min="15108" max="15108" width="28.28515625" customWidth="1"/>
    <col min="15109" max="15109" width="18.7109375" customWidth="1"/>
    <col min="15362" max="15362" width="39.7109375" customWidth="1"/>
    <col min="15363" max="15363" width="56.28515625" customWidth="1"/>
    <col min="15364" max="15364" width="28.28515625" customWidth="1"/>
    <col min="15365" max="15365" width="18.7109375" customWidth="1"/>
    <col min="15618" max="15618" width="39.7109375" customWidth="1"/>
    <col min="15619" max="15619" width="56.28515625" customWidth="1"/>
    <col min="15620" max="15620" width="28.28515625" customWidth="1"/>
    <col min="15621" max="15621" width="18.7109375" customWidth="1"/>
    <col min="15874" max="15874" width="39.7109375" customWidth="1"/>
    <col min="15875" max="15875" width="56.28515625" customWidth="1"/>
    <col min="15876" max="15876" width="28.28515625" customWidth="1"/>
    <col min="15877" max="15877" width="18.7109375" customWidth="1"/>
    <col min="16130" max="16130" width="39.7109375" customWidth="1"/>
    <col min="16131" max="16131" width="56.28515625" customWidth="1"/>
    <col min="16132" max="16132" width="28.28515625" customWidth="1"/>
    <col min="16133" max="16133" width="18.7109375" customWidth="1"/>
  </cols>
  <sheetData>
    <row r="1" spans="1:7" x14ac:dyDescent="0.25">
      <c r="A1" s="5" t="s">
        <v>513</v>
      </c>
      <c r="B1" s="134"/>
      <c r="C1" s="135"/>
      <c r="D1" s="4"/>
      <c r="E1" s="4"/>
      <c r="F1" s="4"/>
      <c r="G1" s="4"/>
    </row>
    <row r="2" spans="1:7" x14ac:dyDescent="0.25">
      <c r="A2" s="4"/>
      <c r="B2" s="134"/>
      <c r="C2" s="135"/>
      <c r="D2" s="4"/>
      <c r="E2" s="4"/>
      <c r="F2" s="4"/>
      <c r="G2" s="4"/>
    </row>
    <row r="3" spans="1:7" x14ac:dyDescent="0.25">
      <c r="A3" s="5" t="s">
        <v>514</v>
      </c>
      <c r="B3" s="134"/>
      <c r="C3" s="135"/>
      <c r="D3" s="4"/>
      <c r="E3" s="4"/>
      <c r="F3" s="4"/>
      <c r="G3" s="4"/>
    </row>
    <row r="4" spans="1:7" x14ac:dyDescent="0.25">
      <c r="A4" s="6">
        <v>1</v>
      </c>
      <c r="B4" s="134" t="s">
        <v>515</v>
      </c>
      <c r="C4" s="135" t="s">
        <v>516</v>
      </c>
      <c r="D4" s="4" t="s">
        <v>517</v>
      </c>
      <c r="E4" s="4" t="s">
        <v>518</v>
      </c>
      <c r="F4" s="4">
        <v>2005</v>
      </c>
      <c r="G4" s="4"/>
    </row>
    <row r="5" spans="1:7" ht="15.75" customHeight="1" x14ac:dyDescent="0.25">
      <c r="A5" s="6">
        <v>2</v>
      </c>
      <c r="B5" s="134" t="s">
        <v>515</v>
      </c>
      <c r="C5" s="135" t="s">
        <v>519</v>
      </c>
      <c r="D5" s="4" t="s">
        <v>520</v>
      </c>
      <c r="E5" s="4" t="s">
        <v>518</v>
      </c>
      <c r="F5" s="4">
        <v>2008</v>
      </c>
      <c r="G5" s="4"/>
    </row>
    <row r="6" spans="1:7" x14ac:dyDescent="0.25">
      <c r="A6" s="6">
        <v>3</v>
      </c>
      <c r="B6" s="134" t="s">
        <v>515</v>
      </c>
      <c r="C6" s="135" t="s">
        <v>521</v>
      </c>
      <c r="D6" s="4" t="s">
        <v>522</v>
      </c>
      <c r="E6" s="4" t="s">
        <v>518</v>
      </c>
      <c r="F6" s="4">
        <v>2008</v>
      </c>
      <c r="G6" s="4"/>
    </row>
    <row r="7" spans="1:7" ht="30" x14ac:dyDescent="0.25">
      <c r="A7" s="6">
        <v>4</v>
      </c>
      <c r="B7" s="134" t="s">
        <v>523</v>
      </c>
      <c r="C7" s="135" t="s">
        <v>524</v>
      </c>
      <c r="D7" s="4" t="s">
        <v>525</v>
      </c>
      <c r="E7" s="4" t="s">
        <v>526</v>
      </c>
      <c r="F7" s="4">
        <v>2003</v>
      </c>
      <c r="G7" s="4"/>
    </row>
    <row r="8" spans="1:7" x14ac:dyDescent="0.25">
      <c r="A8" s="6">
        <v>5</v>
      </c>
      <c r="B8" s="134" t="s">
        <v>527</v>
      </c>
      <c r="C8" s="135" t="s">
        <v>528</v>
      </c>
      <c r="D8" s="4" t="s">
        <v>529</v>
      </c>
      <c r="E8" s="4" t="s">
        <v>526</v>
      </c>
      <c r="F8" s="4">
        <v>2013</v>
      </c>
      <c r="G8" s="4"/>
    </row>
    <row r="9" spans="1:7" x14ac:dyDescent="0.25">
      <c r="A9" s="6">
        <v>6</v>
      </c>
      <c r="B9" s="134" t="s">
        <v>530</v>
      </c>
      <c r="C9" s="135" t="s">
        <v>531</v>
      </c>
      <c r="D9" s="4" t="s">
        <v>532</v>
      </c>
      <c r="E9" s="4" t="s">
        <v>533</v>
      </c>
      <c r="F9" s="4">
        <v>2008</v>
      </c>
      <c r="G9" s="4"/>
    </row>
    <row r="10" spans="1:7" x14ac:dyDescent="0.25">
      <c r="A10" s="6">
        <v>7</v>
      </c>
      <c r="B10" s="134" t="s">
        <v>534</v>
      </c>
      <c r="C10" s="135" t="s">
        <v>535</v>
      </c>
      <c r="D10" s="4" t="s">
        <v>529</v>
      </c>
      <c r="E10" s="4" t="s">
        <v>526</v>
      </c>
      <c r="F10" s="4">
        <v>2009</v>
      </c>
      <c r="G10" s="4"/>
    </row>
    <row r="11" spans="1:7" x14ac:dyDescent="0.25">
      <c r="A11" s="6">
        <v>8</v>
      </c>
      <c r="B11" s="134" t="s">
        <v>536</v>
      </c>
      <c r="C11" s="135" t="s">
        <v>537</v>
      </c>
      <c r="D11" s="4" t="s">
        <v>529</v>
      </c>
      <c r="E11" s="4" t="s">
        <v>526</v>
      </c>
      <c r="F11" s="4">
        <v>2011</v>
      </c>
      <c r="G11" s="4"/>
    </row>
    <row r="12" spans="1:7" x14ac:dyDescent="0.25">
      <c r="A12" s="6">
        <v>9</v>
      </c>
      <c r="B12" s="134" t="s">
        <v>538</v>
      </c>
      <c r="C12" s="135" t="s">
        <v>539</v>
      </c>
      <c r="D12" s="4" t="s">
        <v>540</v>
      </c>
      <c r="E12" s="4" t="s">
        <v>541</v>
      </c>
      <c r="F12" s="4">
        <v>2002</v>
      </c>
      <c r="G12" s="4"/>
    </row>
    <row r="13" spans="1:7" x14ac:dyDescent="0.25">
      <c r="A13" s="6">
        <v>10</v>
      </c>
      <c r="B13" s="134" t="s">
        <v>542</v>
      </c>
      <c r="C13" s="135" t="s">
        <v>543</v>
      </c>
      <c r="D13" s="4" t="s">
        <v>544</v>
      </c>
      <c r="E13" s="4" t="s">
        <v>545</v>
      </c>
      <c r="F13" s="4">
        <v>2010</v>
      </c>
      <c r="G13" s="4"/>
    </row>
    <row r="14" spans="1:7" x14ac:dyDescent="0.25">
      <c r="A14" s="6">
        <v>11</v>
      </c>
      <c r="B14" s="134" t="s">
        <v>546</v>
      </c>
      <c r="C14" s="135" t="s">
        <v>547</v>
      </c>
      <c r="D14" s="4" t="s">
        <v>548</v>
      </c>
      <c r="E14" s="4" t="s">
        <v>549</v>
      </c>
      <c r="F14" s="4">
        <v>2008</v>
      </c>
      <c r="G14" s="4"/>
    </row>
    <row r="15" spans="1:7" x14ac:dyDescent="0.25">
      <c r="A15" s="6">
        <v>12</v>
      </c>
      <c r="B15" s="134" t="s">
        <v>546</v>
      </c>
      <c r="C15" s="135" t="s">
        <v>550</v>
      </c>
      <c r="D15" s="4" t="s">
        <v>548</v>
      </c>
      <c r="E15" s="4" t="s">
        <v>549</v>
      </c>
      <c r="F15" s="4">
        <v>2008</v>
      </c>
      <c r="G15" s="4"/>
    </row>
    <row r="16" spans="1:7" x14ac:dyDescent="0.25">
      <c r="A16" s="6">
        <v>13</v>
      </c>
      <c r="B16" s="134" t="s">
        <v>546</v>
      </c>
      <c r="C16" s="135" t="s">
        <v>551</v>
      </c>
      <c r="D16" s="4" t="s">
        <v>548</v>
      </c>
      <c r="E16" s="4" t="s">
        <v>549</v>
      </c>
      <c r="F16" s="4">
        <v>2008</v>
      </c>
      <c r="G16" s="4"/>
    </row>
    <row r="17" spans="1:7" x14ac:dyDescent="0.25">
      <c r="A17" s="6">
        <v>14</v>
      </c>
      <c r="B17" s="134" t="s">
        <v>546</v>
      </c>
      <c r="C17" s="135" t="s">
        <v>552</v>
      </c>
      <c r="D17" s="4" t="s">
        <v>548</v>
      </c>
      <c r="E17" s="4" t="s">
        <v>549</v>
      </c>
      <c r="F17" s="4">
        <v>2008</v>
      </c>
      <c r="G17" s="4"/>
    </row>
    <row r="18" spans="1:7" ht="30" x14ac:dyDescent="0.25">
      <c r="A18" s="6">
        <v>15</v>
      </c>
      <c r="B18" s="134" t="s">
        <v>553</v>
      </c>
      <c r="C18" s="135" t="s">
        <v>554</v>
      </c>
      <c r="D18" s="4" t="s">
        <v>555</v>
      </c>
      <c r="E18" s="4" t="s">
        <v>541</v>
      </c>
      <c r="F18" s="4">
        <v>2008</v>
      </c>
      <c r="G18" s="4"/>
    </row>
    <row r="19" spans="1:7" x14ac:dyDescent="0.25">
      <c r="A19" s="6">
        <v>16</v>
      </c>
      <c r="B19" s="134" t="s">
        <v>556</v>
      </c>
      <c r="C19" s="135" t="s">
        <v>557</v>
      </c>
      <c r="D19" s="4" t="s">
        <v>558</v>
      </c>
      <c r="E19" s="4" t="s">
        <v>559</v>
      </c>
      <c r="F19" s="4">
        <v>2008</v>
      </c>
      <c r="G19" s="4"/>
    </row>
    <row r="20" spans="1:7" x14ac:dyDescent="0.25">
      <c r="A20" s="6">
        <v>17</v>
      </c>
      <c r="B20" s="134" t="s">
        <v>560</v>
      </c>
      <c r="C20" s="135" t="s">
        <v>561</v>
      </c>
      <c r="D20" s="4" t="s">
        <v>529</v>
      </c>
      <c r="E20" s="4" t="s">
        <v>526</v>
      </c>
      <c r="F20" s="4">
        <v>2011</v>
      </c>
      <c r="G20" s="4"/>
    </row>
    <row r="21" spans="1:7" x14ac:dyDescent="0.25">
      <c r="A21" s="6">
        <v>18</v>
      </c>
      <c r="B21" s="134" t="s">
        <v>562</v>
      </c>
      <c r="C21" s="135" t="s">
        <v>563</v>
      </c>
      <c r="D21" s="4" t="s">
        <v>564</v>
      </c>
      <c r="E21" s="4" t="s">
        <v>541</v>
      </c>
      <c r="F21" s="4">
        <v>2007</v>
      </c>
      <c r="G21" s="4"/>
    </row>
    <row r="22" spans="1:7" x14ac:dyDescent="0.25">
      <c r="A22" s="6"/>
      <c r="B22" s="134"/>
      <c r="C22" s="135"/>
      <c r="D22" s="4"/>
      <c r="E22" s="4"/>
      <c r="F22" s="4"/>
      <c r="G22" s="4"/>
    </row>
    <row r="23" spans="1:7" x14ac:dyDescent="0.25">
      <c r="A23" s="6"/>
      <c r="B23" s="134"/>
      <c r="C23" s="135"/>
      <c r="D23" s="4"/>
      <c r="E23" s="4"/>
      <c r="F23" s="4"/>
      <c r="G23" s="4"/>
    </row>
    <row r="24" spans="1:7" x14ac:dyDescent="0.25">
      <c r="A24" s="136" t="s">
        <v>565</v>
      </c>
      <c r="B24" s="134"/>
      <c r="C24" s="135"/>
      <c r="D24" s="4"/>
      <c r="E24" s="4"/>
      <c r="F24" s="4"/>
      <c r="G24" s="4"/>
    </row>
    <row r="25" spans="1:7" x14ac:dyDescent="0.25">
      <c r="A25" s="6" t="s">
        <v>566</v>
      </c>
      <c r="B25" s="134" t="s">
        <v>567</v>
      </c>
      <c r="C25" s="135"/>
      <c r="D25" s="4"/>
      <c r="E25" s="4"/>
      <c r="F25" s="4"/>
      <c r="G25" s="4"/>
    </row>
    <row r="26" spans="1:7" x14ac:dyDescent="0.25">
      <c r="A26" s="6" t="s">
        <v>568</v>
      </c>
      <c r="B26" s="134" t="s">
        <v>569</v>
      </c>
      <c r="C26" s="135"/>
      <c r="D26" s="4"/>
      <c r="E26" s="4"/>
      <c r="F26" s="4"/>
      <c r="G26" s="4"/>
    </row>
    <row r="27" spans="1:7" x14ac:dyDescent="0.25">
      <c r="A27" s="6" t="s">
        <v>570</v>
      </c>
      <c r="B27" s="134" t="s">
        <v>571</v>
      </c>
      <c r="C27" s="135"/>
      <c r="D27" s="4"/>
      <c r="E27" s="4"/>
      <c r="F27" s="4"/>
      <c r="G27" s="4"/>
    </row>
    <row r="28" spans="1:7" x14ac:dyDescent="0.25">
      <c r="A28" s="6" t="s">
        <v>572</v>
      </c>
      <c r="B28" s="134" t="s">
        <v>573</v>
      </c>
      <c r="C28" s="135"/>
      <c r="D28" s="4"/>
      <c r="E28" s="4"/>
      <c r="F28" s="4"/>
      <c r="G28" s="4"/>
    </row>
    <row r="29" spans="1:7" x14ac:dyDescent="0.25">
      <c r="A29" s="6" t="s">
        <v>574</v>
      </c>
      <c r="B29" s="134" t="s">
        <v>575</v>
      </c>
      <c r="C29" s="135"/>
      <c r="D29" s="4"/>
      <c r="E29" s="4"/>
      <c r="F29" s="4"/>
      <c r="G29" s="4"/>
    </row>
    <row r="30" spans="1:7" x14ac:dyDescent="0.25">
      <c r="A30" s="6" t="s">
        <v>576</v>
      </c>
      <c r="B30" s="134" t="s">
        <v>577</v>
      </c>
      <c r="C30" s="135"/>
      <c r="D30" s="4"/>
      <c r="E30" s="4"/>
      <c r="F30" s="4"/>
      <c r="G30" s="4"/>
    </row>
    <row r="31" spans="1:7" x14ac:dyDescent="0.25">
      <c r="A31" s="6" t="s">
        <v>578</v>
      </c>
      <c r="B31" s="134" t="s">
        <v>579</v>
      </c>
      <c r="C31" s="135"/>
      <c r="D31" s="4"/>
      <c r="E31" s="4"/>
      <c r="F31" s="4"/>
      <c r="G31" s="4"/>
    </row>
    <row r="32" spans="1:7" x14ac:dyDescent="0.25">
      <c r="A32" s="6" t="s">
        <v>580</v>
      </c>
      <c r="B32" s="134" t="s">
        <v>581</v>
      </c>
      <c r="C32" s="135"/>
      <c r="D32" s="4"/>
      <c r="E32" s="4"/>
      <c r="F32" s="4"/>
      <c r="G32" s="4"/>
    </row>
    <row r="33" spans="1:7" x14ac:dyDescent="0.25">
      <c r="A33" s="4"/>
      <c r="B33" s="134"/>
      <c r="C33" s="135"/>
      <c r="D33" s="4"/>
      <c r="E33" s="4"/>
      <c r="F33" s="4"/>
      <c r="G33" s="4"/>
    </row>
    <row r="34" spans="1:7" x14ac:dyDescent="0.25">
      <c r="A34" s="136" t="s">
        <v>582</v>
      </c>
    </row>
    <row r="35" spans="1:7" x14ac:dyDescent="0.25">
      <c r="A35" s="6" t="s">
        <v>583</v>
      </c>
      <c r="B35" t="s">
        <v>584</v>
      </c>
    </row>
    <row r="36" spans="1:7" x14ac:dyDescent="0.25">
      <c r="A36" s="6" t="s">
        <v>585</v>
      </c>
      <c r="B36" t="s">
        <v>586</v>
      </c>
    </row>
    <row r="37" spans="1:7" x14ac:dyDescent="0.25">
      <c r="A37" s="6" t="s">
        <v>587</v>
      </c>
      <c r="B37" t="s">
        <v>588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showGridLines="0" topLeftCell="A109" workbookViewId="0">
      <selection activeCell="A39" sqref="A39"/>
    </sheetView>
  </sheetViews>
  <sheetFormatPr baseColWidth="10" defaultColWidth="11.42578125" defaultRowHeight="15.75" x14ac:dyDescent="0.25"/>
  <cols>
    <col min="1" max="1" width="50.85546875" style="289" customWidth="1"/>
    <col min="2" max="2" width="10.5703125" style="289" customWidth="1"/>
    <col min="3" max="3" width="11.42578125" style="289" customWidth="1"/>
    <col min="4" max="4" width="13.140625" style="289" customWidth="1"/>
    <col min="5" max="6" width="10.5703125" style="289" customWidth="1"/>
    <col min="7" max="7" width="11.42578125" style="289" customWidth="1"/>
    <col min="8" max="9" width="10.5703125" style="289" customWidth="1"/>
    <col min="10" max="256" width="11.42578125" style="289"/>
    <col min="257" max="257" width="52" style="289" customWidth="1"/>
    <col min="258" max="512" width="11.42578125" style="289"/>
    <col min="513" max="513" width="52" style="289" customWidth="1"/>
    <col min="514" max="768" width="11.42578125" style="289"/>
    <col min="769" max="769" width="52" style="289" customWidth="1"/>
    <col min="770" max="1024" width="11.42578125" style="289"/>
    <col min="1025" max="1025" width="52" style="289" customWidth="1"/>
    <col min="1026" max="1280" width="11.42578125" style="289"/>
    <col min="1281" max="1281" width="52" style="289" customWidth="1"/>
    <col min="1282" max="1536" width="11.42578125" style="289"/>
    <col min="1537" max="1537" width="52" style="289" customWidth="1"/>
    <col min="1538" max="1792" width="11.42578125" style="289"/>
    <col min="1793" max="1793" width="52" style="289" customWidth="1"/>
    <col min="1794" max="2048" width="11.42578125" style="289"/>
    <col min="2049" max="2049" width="52" style="289" customWidth="1"/>
    <col min="2050" max="2304" width="11.42578125" style="289"/>
    <col min="2305" max="2305" width="52" style="289" customWidth="1"/>
    <col min="2306" max="2560" width="11.42578125" style="289"/>
    <col min="2561" max="2561" width="52" style="289" customWidth="1"/>
    <col min="2562" max="2816" width="11.42578125" style="289"/>
    <col min="2817" max="2817" width="52" style="289" customWidth="1"/>
    <col min="2818" max="3072" width="11.42578125" style="289"/>
    <col min="3073" max="3073" width="52" style="289" customWidth="1"/>
    <col min="3074" max="3328" width="11.42578125" style="289"/>
    <col min="3329" max="3329" width="52" style="289" customWidth="1"/>
    <col min="3330" max="3584" width="11.42578125" style="289"/>
    <col min="3585" max="3585" width="52" style="289" customWidth="1"/>
    <col min="3586" max="3840" width="11.42578125" style="289"/>
    <col min="3841" max="3841" width="52" style="289" customWidth="1"/>
    <col min="3842" max="4096" width="11.42578125" style="289"/>
    <col min="4097" max="4097" width="52" style="289" customWidth="1"/>
    <col min="4098" max="4352" width="11.42578125" style="289"/>
    <col min="4353" max="4353" width="52" style="289" customWidth="1"/>
    <col min="4354" max="4608" width="11.42578125" style="289"/>
    <col min="4609" max="4609" width="52" style="289" customWidth="1"/>
    <col min="4610" max="4864" width="11.42578125" style="289"/>
    <col min="4865" max="4865" width="52" style="289" customWidth="1"/>
    <col min="4866" max="5120" width="11.42578125" style="289"/>
    <col min="5121" max="5121" width="52" style="289" customWidth="1"/>
    <col min="5122" max="5376" width="11.42578125" style="289"/>
    <col min="5377" max="5377" width="52" style="289" customWidth="1"/>
    <col min="5378" max="5632" width="11.42578125" style="289"/>
    <col min="5633" max="5633" width="52" style="289" customWidth="1"/>
    <col min="5634" max="5888" width="11.42578125" style="289"/>
    <col min="5889" max="5889" width="52" style="289" customWidth="1"/>
    <col min="5890" max="6144" width="11.42578125" style="289"/>
    <col min="6145" max="6145" width="52" style="289" customWidth="1"/>
    <col min="6146" max="6400" width="11.42578125" style="289"/>
    <col min="6401" max="6401" width="52" style="289" customWidth="1"/>
    <col min="6402" max="6656" width="11.42578125" style="289"/>
    <col min="6657" max="6657" width="52" style="289" customWidth="1"/>
    <col min="6658" max="6912" width="11.42578125" style="289"/>
    <col min="6913" max="6913" width="52" style="289" customWidth="1"/>
    <col min="6914" max="7168" width="11.42578125" style="289"/>
    <col min="7169" max="7169" width="52" style="289" customWidth="1"/>
    <col min="7170" max="7424" width="11.42578125" style="289"/>
    <col min="7425" max="7425" width="52" style="289" customWidth="1"/>
    <col min="7426" max="7680" width="11.42578125" style="289"/>
    <col min="7681" max="7681" width="52" style="289" customWidth="1"/>
    <col min="7682" max="7936" width="11.42578125" style="289"/>
    <col min="7937" max="7937" width="52" style="289" customWidth="1"/>
    <col min="7938" max="8192" width="11.42578125" style="289"/>
    <col min="8193" max="8193" width="52" style="289" customWidth="1"/>
    <col min="8194" max="8448" width="11.42578125" style="289"/>
    <col min="8449" max="8449" width="52" style="289" customWidth="1"/>
    <col min="8450" max="8704" width="11.42578125" style="289"/>
    <col min="8705" max="8705" width="52" style="289" customWidth="1"/>
    <col min="8706" max="8960" width="11.42578125" style="289"/>
    <col min="8961" max="8961" width="52" style="289" customWidth="1"/>
    <col min="8962" max="9216" width="11.42578125" style="289"/>
    <col min="9217" max="9217" width="52" style="289" customWidth="1"/>
    <col min="9218" max="9472" width="11.42578125" style="289"/>
    <col min="9473" max="9473" width="52" style="289" customWidth="1"/>
    <col min="9474" max="9728" width="11.42578125" style="289"/>
    <col min="9729" max="9729" width="52" style="289" customWidth="1"/>
    <col min="9730" max="9984" width="11.42578125" style="289"/>
    <col min="9985" max="9985" width="52" style="289" customWidth="1"/>
    <col min="9986" max="10240" width="11.42578125" style="289"/>
    <col min="10241" max="10241" width="52" style="289" customWidth="1"/>
    <col min="10242" max="10496" width="11.42578125" style="289"/>
    <col min="10497" max="10497" width="52" style="289" customWidth="1"/>
    <col min="10498" max="10752" width="11.42578125" style="289"/>
    <col min="10753" max="10753" width="52" style="289" customWidth="1"/>
    <col min="10754" max="11008" width="11.42578125" style="289"/>
    <col min="11009" max="11009" width="52" style="289" customWidth="1"/>
    <col min="11010" max="11264" width="11.42578125" style="289"/>
    <col min="11265" max="11265" width="52" style="289" customWidth="1"/>
    <col min="11266" max="11520" width="11.42578125" style="289"/>
    <col min="11521" max="11521" width="52" style="289" customWidth="1"/>
    <col min="11522" max="11776" width="11.42578125" style="289"/>
    <col min="11777" max="11777" width="52" style="289" customWidth="1"/>
    <col min="11778" max="12032" width="11.42578125" style="289"/>
    <col min="12033" max="12033" width="52" style="289" customWidth="1"/>
    <col min="12034" max="12288" width="11.42578125" style="289"/>
    <col min="12289" max="12289" width="52" style="289" customWidth="1"/>
    <col min="12290" max="12544" width="11.42578125" style="289"/>
    <col min="12545" max="12545" width="52" style="289" customWidth="1"/>
    <col min="12546" max="12800" width="11.42578125" style="289"/>
    <col min="12801" max="12801" width="52" style="289" customWidth="1"/>
    <col min="12802" max="13056" width="11.42578125" style="289"/>
    <col min="13057" max="13057" width="52" style="289" customWidth="1"/>
    <col min="13058" max="13312" width="11.42578125" style="289"/>
    <col min="13313" max="13313" width="52" style="289" customWidth="1"/>
    <col min="13314" max="13568" width="11.42578125" style="289"/>
    <col min="13569" max="13569" width="52" style="289" customWidth="1"/>
    <col min="13570" max="13824" width="11.42578125" style="289"/>
    <col min="13825" max="13825" width="52" style="289" customWidth="1"/>
    <col min="13826" max="14080" width="11.42578125" style="289"/>
    <col min="14081" max="14081" width="52" style="289" customWidth="1"/>
    <col min="14082" max="14336" width="11.42578125" style="289"/>
    <col min="14337" max="14337" width="52" style="289" customWidth="1"/>
    <col min="14338" max="14592" width="11.42578125" style="289"/>
    <col min="14593" max="14593" width="52" style="289" customWidth="1"/>
    <col min="14594" max="14848" width="11.42578125" style="289"/>
    <col min="14849" max="14849" width="52" style="289" customWidth="1"/>
    <col min="14850" max="15104" width="11.42578125" style="289"/>
    <col min="15105" max="15105" width="52" style="289" customWidth="1"/>
    <col min="15106" max="15360" width="11.42578125" style="289"/>
    <col min="15361" max="15361" width="52" style="289" customWidth="1"/>
    <col min="15362" max="15616" width="11.42578125" style="289"/>
    <col min="15617" max="15617" width="52" style="289" customWidth="1"/>
    <col min="15618" max="15872" width="11.42578125" style="289"/>
    <col min="15873" max="15873" width="52" style="289" customWidth="1"/>
    <col min="15874" max="16128" width="11.42578125" style="289"/>
    <col min="16129" max="16129" width="52" style="289" customWidth="1"/>
    <col min="16130" max="16384" width="11.42578125" style="289"/>
  </cols>
  <sheetData>
    <row r="1" spans="1:9" ht="16.5" thickBot="1" x14ac:dyDescent="0.3"/>
    <row r="2" spans="1:9" x14ac:dyDescent="0.25">
      <c r="A2" s="325" t="s">
        <v>698</v>
      </c>
      <c r="B2" s="303"/>
      <c r="C2" s="303"/>
      <c r="D2" s="303"/>
      <c r="E2" s="303"/>
      <c r="F2" s="303"/>
      <c r="G2" s="303"/>
      <c r="H2" s="303"/>
      <c r="I2" s="304"/>
    </row>
    <row r="3" spans="1:9" x14ac:dyDescent="0.25">
      <c r="A3" s="309" t="s">
        <v>47</v>
      </c>
      <c r="B3" s="297"/>
      <c r="C3" s="297"/>
      <c r="D3" s="297"/>
      <c r="E3" s="297"/>
      <c r="F3" s="296"/>
      <c r="G3" s="296"/>
      <c r="H3" s="296"/>
      <c r="I3" s="302"/>
    </row>
    <row r="4" spans="1:9" x14ac:dyDescent="0.25">
      <c r="A4" s="309" t="s">
        <v>699</v>
      </c>
      <c r="B4" s="318">
        <v>1990</v>
      </c>
      <c r="C4" s="318">
        <v>1991</v>
      </c>
      <c r="D4" s="318">
        <v>1992</v>
      </c>
      <c r="E4" s="318">
        <v>1993</v>
      </c>
      <c r="F4" s="318">
        <v>1994</v>
      </c>
      <c r="G4" s="318">
        <v>1995</v>
      </c>
      <c r="H4" s="318">
        <v>1996</v>
      </c>
      <c r="I4" s="326">
        <v>1997</v>
      </c>
    </row>
    <row r="5" spans="1:9" x14ac:dyDescent="0.25">
      <c r="A5" s="300" t="s">
        <v>48</v>
      </c>
      <c r="B5" s="296">
        <v>32</v>
      </c>
      <c r="C5" s="296">
        <v>28</v>
      </c>
      <c r="D5" s="296">
        <v>30</v>
      </c>
      <c r="E5" s="296">
        <v>25</v>
      </c>
      <c r="F5" s="296">
        <v>70</v>
      </c>
      <c r="G5" s="296">
        <v>40</v>
      </c>
      <c r="H5" s="296">
        <v>60</v>
      </c>
      <c r="I5" s="302">
        <v>80</v>
      </c>
    </row>
    <row r="6" spans="1:9" x14ac:dyDescent="0.25">
      <c r="A6" s="300" t="s">
        <v>700</v>
      </c>
      <c r="B6" s="299">
        <v>2800</v>
      </c>
      <c r="C6" s="299">
        <v>2300</v>
      </c>
      <c r="D6" s="299">
        <v>2500</v>
      </c>
      <c r="E6" s="299">
        <v>2200</v>
      </c>
      <c r="F6" s="299">
        <v>7000</v>
      </c>
      <c r="G6" s="299">
        <v>3500</v>
      </c>
      <c r="H6" s="299">
        <v>8000</v>
      </c>
      <c r="I6" s="306">
        <v>9000</v>
      </c>
    </row>
    <row r="7" spans="1:9" x14ac:dyDescent="0.25">
      <c r="A7" s="300" t="s">
        <v>701</v>
      </c>
      <c r="B7" s="299">
        <f t="shared" ref="B7:I7" si="0">+B6/B5</f>
        <v>87.5</v>
      </c>
      <c r="C7" s="299">
        <f t="shared" si="0"/>
        <v>82.142857142857139</v>
      </c>
      <c r="D7" s="299">
        <f t="shared" si="0"/>
        <v>83.333333333333329</v>
      </c>
      <c r="E7" s="299">
        <f t="shared" si="0"/>
        <v>88</v>
      </c>
      <c r="F7" s="299">
        <f t="shared" si="0"/>
        <v>100</v>
      </c>
      <c r="G7" s="299">
        <f t="shared" si="0"/>
        <v>87.5</v>
      </c>
      <c r="H7" s="299">
        <f t="shared" si="0"/>
        <v>133.33333333333334</v>
      </c>
      <c r="I7" s="306">
        <f t="shared" si="0"/>
        <v>112.5</v>
      </c>
    </row>
    <row r="8" spans="1:9" ht="16.5" thickBot="1" x14ac:dyDescent="0.3">
      <c r="A8" s="301" t="s">
        <v>7</v>
      </c>
      <c r="B8" s="327">
        <v>0.04</v>
      </c>
      <c r="C8" s="327">
        <v>0.04</v>
      </c>
      <c r="D8" s="327">
        <v>3.7499999999999999E-2</v>
      </c>
      <c r="E8" s="327">
        <v>0.03</v>
      </c>
      <c r="F8" s="330">
        <v>4.4999999999999998E-2</v>
      </c>
      <c r="G8" s="330">
        <v>0.05</v>
      </c>
      <c r="H8" s="330">
        <v>4.5999999999999999E-2</v>
      </c>
      <c r="I8" s="331">
        <v>4.7500000000000001E-2</v>
      </c>
    </row>
    <row r="9" spans="1:9" x14ac:dyDescent="0.25">
      <c r="A9" s="296"/>
      <c r="B9" s="296"/>
      <c r="C9" s="296"/>
      <c r="D9" s="296"/>
      <c r="E9" s="296"/>
      <c r="F9" s="296"/>
      <c r="G9" s="296"/>
      <c r="H9" s="296"/>
      <c r="I9" s="296"/>
    </row>
    <row r="10" spans="1:9" ht="16.5" thickBot="1" x14ac:dyDescent="0.3">
      <c r="A10" s="298" t="s">
        <v>703</v>
      </c>
      <c r="B10" s="296"/>
      <c r="C10" s="296"/>
      <c r="D10" s="296"/>
      <c r="E10" s="296"/>
      <c r="F10" s="296"/>
      <c r="G10" s="296"/>
      <c r="H10" s="296"/>
      <c r="I10" s="296"/>
    </row>
    <row r="11" spans="1:9" x14ac:dyDescent="0.25">
      <c r="A11" s="300" t="s">
        <v>702</v>
      </c>
      <c r="B11" s="321">
        <v>1</v>
      </c>
      <c r="C11" s="321">
        <v>2</v>
      </c>
      <c r="D11" s="321">
        <v>3</v>
      </c>
      <c r="E11" s="321">
        <v>4</v>
      </c>
      <c r="F11" s="319"/>
    </row>
    <row r="12" spans="1:9" x14ac:dyDescent="0.25">
      <c r="A12" s="300"/>
      <c r="B12" s="321">
        <f>+B11*B5</f>
        <v>32</v>
      </c>
      <c r="C12" s="321">
        <f t="shared" ref="C12:E12" si="1">+C11*C5</f>
        <v>56</v>
      </c>
      <c r="D12" s="321">
        <f t="shared" si="1"/>
        <v>90</v>
      </c>
      <c r="E12" s="321">
        <f t="shared" si="1"/>
        <v>100</v>
      </c>
      <c r="F12" s="320">
        <f>SUM(B12:E12)/10</f>
        <v>27.8</v>
      </c>
    </row>
    <row r="13" spans="1:9" x14ac:dyDescent="0.25">
      <c r="A13" s="300"/>
      <c r="B13" s="289">
        <f>+B6*B11</f>
        <v>2800</v>
      </c>
      <c r="C13" s="289">
        <f t="shared" ref="C13:E13" si="2">+C6*C11</f>
        <v>4600</v>
      </c>
      <c r="D13" s="289">
        <f t="shared" si="2"/>
        <v>7500</v>
      </c>
      <c r="E13" s="289">
        <f t="shared" si="2"/>
        <v>8800</v>
      </c>
      <c r="F13" s="320">
        <f t="shared" ref="F13:F15" si="3">SUM(B13:E13)/10</f>
        <v>2370</v>
      </c>
    </row>
    <row r="14" spans="1:9" x14ac:dyDescent="0.25">
      <c r="A14" s="300"/>
      <c r="B14" s="324">
        <f>+B7*B11</f>
        <v>87.5</v>
      </c>
      <c r="C14" s="324">
        <f t="shared" ref="C14:E14" si="4">+C7*C11</f>
        <v>164.28571428571428</v>
      </c>
      <c r="D14" s="324">
        <f t="shared" si="4"/>
        <v>250</v>
      </c>
      <c r="E14" s="324">
        <f t="shared" si="4"/>
        <v>352</v>
      </c>
      <c r="F14" s="322">
        <f t="shared" si="3"/>
        <v>85.378571428571419</v>
      </c>
    </row>
    <row r="15" spans="1:9" ht="16.5" thickBot="1" x14ac:dyDescent="0.3">
      <c r="A15" s="300"/>
      <c r="B15" s="294">
        <f>+B8*B11</f>
        <v>0.04</v>
      </c>
      <c r="C15" s="294">
        <f t="shared" ref="C15:E15" si="5">+C8*C11</f>
        <v>0.08</v>
      </c>
      <c r="D15" s="294">
        <f t="shared" si="5"/>
        <v>0.11249999999999999</v>
      </c>
      <c r="E15" s="294">
        <f t="shared" si="5"/>
        <v>0.12</v>
      </c>
      <c r="F15" s="323">
        <f t="shared" si="3"/>
        <v>3.5249999999999997E-2</v>
      </c>
    </row>
    <row r="16" spans="1:9" x14ac:dyDescent="0.25">
      <c r="A16" s="300"/>
    </row>
    <row r="17" spans="1:9" ht="16.5" thickBot="1" x14ac:dyDescent="0.3">
      <c r="A17" s="296"/>
      <c r="B17" s="296"/>
      <c r="C17" s="296"/>
      <c r="D17" s="296"/>
      <c r="E17" s="296"/>
    </row>
    <row r="18" spans="1:9" ht="23.25" x14ac:dyDescent="0.35">
      <c r="A18" s="307" t="s">
        <v>0</v>
      </c>
      <c r="B18" s="308"/>
      <c r="C18" s="308"/>
      <c r="D18" s="308"/>
      <c r="E18" s="308"/>
      <c r="F18" s="303"/>
      <c r="G18" s="303"/>
      <c r="H18" s="303"/>
      <c r="I18" s="304"/>
    </row>
    <row r="19" spans="1:9" x14ac:dyDescent="0.25">
      <c r="A19" s="309" t="s">
        <v>1</v>
      </c>
      <c r="B19" s="298"/>
      <c r="C19" s="298"/>
      <c r="D19" s="298"/>
      <c r="E19" s="298"/>
      <c r="F19" s="310" t="s">
        <v>2</v>
      </c>
      <c r="G19" s="310" t="s">
        <v>704</v>
      </c>
      <c r="H19" s="310" t="s">
        <v>3</v>
      </c>
      <c r="I19" s="302"/>
    </row>
    <row r="20" spans="1:9" x14ac:dyDescent="0.25">
      <c r="A20" s="300"/>
      <c r="B20" s="298"/>
      <c r="C20" s="298"/>
      <c r="D20" s="298"/>
      <c r="E20" s="298"/>
      <c r="F20" s="296"/>
      <c r="G20" s="296"/>
      <c r="H20" s="296"/>
      <c r="I20" s="302"/>
    </row>
    <row r="21" spans="1:9" x14ac:dyDescent="0.25">
      <c r="A21" s="300" t="s">
        <v>4</v>
      </c>
      <c r="B21" s="298"/>
      <c r="C21" s="298"/>
      <c r="D21" s="298"/>
      <c r="E21" s="298"/>
      <c r="F21" s="299">
        <f>+AVERAGE(B5:E5)</f>
        <v>28.75</v>
      </c>
      <c r="G21" s="299">
        <f>+MEDIAN(B5:E5)</f>
        <v>29</v>
      </c>
      <c r="H21" s="299">
        <f>+F12</f>
        <v>27.8</v>
      </c>
      <c r="I21" s="302"/>
    </row>
    <row r="22" spans="1:9" x14ac:dyDescent="0.25">
      <c r="A22" s="300" t="s">
        <v>5</v>
      </c>
      <c r="B22" s="298"/>
      <c r="C22" s="298"/>
      <c r="D22" s="298"/>
      <c r="E22" s="298"/>
      <c r="F22" s="299">
        <f t="shared" ref="F22:F24" si="6">+AVERAGE(B6:E6)</f>
        <v>2450</v>
      </c>
      <c r="G22" s="299">
        <f t="shared" ref="G22:G24" si="7">+MEDIAN(B6:E6)</f>
        <v>2400</v>
      </c>
      <c r="H22" s="299">
        <f t="shared" ref="H22:H24" si="8">+F13</f>
        <v>2370</v>
      </c>
      <c r="I22" s="302"/>
    </row>
    <row r="23" spans="1:9" x14ac:dyDescent="0.25">
      <c r="A23" s="300" t="s">
        <v>6</v>
      </c>
      <c r="B23" s="298"/>
      <c r="C23" s="298"/>
      <c r="D23" s="298"/>
      <c r="E23" s="298"/>
      <c r="F23" s="299">
        <f t="shared" si="6"/>
        <v>85.24404761904762</v>
      </c>
      <c r="G23" s="299">
        <f t="shared" si="7"/>
        <v>85.416666666666657</v>
      </c>
      <c r="H23" s="299">
        <f t="shared" si="8"/>
        <v>85.378571428571419</v>
      </c>
      <c r="I23" s="306"/>
    </row>
    <row r="24" spans="1:9" x14ac:dyDescent="0.25">
      <c r="A24" s="300" t="s">
        <v>7</v>
      </c>
      <c r="B24" s="298"/>
      <c r="C24" s="298"/>
      <c r="D24" s="298"/>
      <c r="E24" s="298"/>
      <c r="F24" s="297">
        <f t="shared" si="6"/>
        <v>3.6874999999999998E-2</v>
      </c>
      <c r="G24" s="297">
        <f t="shared" si="7"/>
        <v>3.875E-2</v>
      </c>
      <c r="H24" s="297">
        <f t="shared" si="8"/>
        <v>3.5249999999999997E-2</v>
      </c>
      <c r="I24" s="302"/>
    </row>
    <row r="25" spans="1:9" x14ac:dyDescent="0.25">
      <c r="A25" s="300"/>
      <c r="B25" s="298"/>
      <c r="C25" s="298"/>
      <c r="D25" s="298"/>
      <c r="E25" s="298"/>
      <c r="F25" s="296"/>
      <c r="G25" s="296"/>
      <c r="H25" s="296"/>
      <c r="I25" s="302"/>
    </row>
    <row r="26" spans="1:9" x14ac:dyDescent="0.25">
      <c r="A26" s="300"/>
      <c r="B26" s="296"/>
      <c r="C26" s="296"/>
      <c r="D26" s="296"/>
      <c r="E26" s="296"/>
      <c r="F26" s="296"/>
      <c r="G26" s="296"/>
      <c r="H26" s="296"/>
      <c r="I26" s="302"/>
    </row>
    <row r="27" spans="1:9" x14ac:dyDescent="0.25">
      <c r="A27" s="309" t="s">
        <v>8</v>
      </c>
      <c r="B27" s="296"/>
      <c r="C27" s="296"/>
      <c r="D27" s="296"/>
      <c r="E27" s="296"/>
      <c r="F27" s="298">
        <v>1994</v>
      </c>
      <c r="G27" s="298">
        <v>1995</v>
      </c>
      <c r="H27" s="298">
        <v>1996</v>
      </c>
      <c r="I27" s="305">
        <v>1997</v>
      </c>
    </row>
    <row r="28" spans="1:9" x14ac:dyDescent="0.25">
      <c r="A28" s="300" t="s">
        <v>9</v>
      </c>
      <c r="B28" s="296"/>
      <c r="C28" s="296"/>
      <c r="D28" s="296" t="s">
        <v>705</v>
      </c>
      <c r="E28" s="296" t="s">
        <v>204</v>
      </c>
      <c r="F28" s="296">
        <f>+F5-$F$21</f>
        <v>41.25</v>
      </c>
      <c r="G28" s="296">
        <f>+G5-$F$21</f>
        <v>11.25</v>
      </c>
      <c r="H28" s="296">
        <f>+H5-$F$21</f>
        <v>31.25</v>
      </c>
      <c r="I28" s="302">
        <f>+I5-$F$21</f>
        <v>51.25</v>
      </c>
    </row>
    <row r="29" spans="1:9" x14ac:dyDescent="0.25">
      <c r="A29" s="300" t="s">
        <v>589</v>
      </c>
      <c r="B29" s="296"/>
      <c r="C29" s="296"/>
      <c r="D29" s="296" t="s">
        <v>706</v>
      </c>
      <c r="E29" s="296"/>
      <c r="F29" s="299">
        <f>+F6/F5</f>
        <v>100</v>
      </c>
      <c r="G29" s="299">
        <f>+G6/G5</f>
        <v>87.5</v>
      </c>
      <c r="H29" s="299">
        <f>+H6/H5</f>
        <v>133.33333333333334</v>
      </c>
      <c r="I29" s="306">
        <f>+I6/I5</f>
        <v>112.5</v>
      </c>
    </row>
    <row r="30" spans="1:9" x14ac:dyDescent="0.25">
      <c r="A30" s="300" t="s">
        <v>5</v>
      </c>
      <c r="B30" s="296"/>
      <c r="C30" s="296"/>
      <c r="D30" s="296"/>
      <c r="E30" s="296"/>
      <c r="F30" s="299">
        <f>+F28*F29</f>
        <v>4125</v>
      </c>
      <c r="G30" s="299">
        <f>+G28*G29</f>
        <v>984.375</v>
      </c>
      <c r="H30" s="299">
        <f>+H28*H29</f>
        <v>4166.666666666667</v>
      </c>
      <c r="I30" s="306">
        <f>+I28*I29</f>
        <v>5765.625</v>
      </c>
    </row>
    <row r="31" spans="1:9" x14ac:dyDescent="0.25">
      <c r="A31" s="300" t="s">
        <v>7</v>
      </c>
      <c r="B31" s="296"/>
      <c r="C31" s="296"/>
      <c r="D31" s="296" t="s">
        <v>707</v>
      </c>
      <c r="E31" s="296"/>
      <c r="F31" s="328">
        <f>+F8</f>
        <v>4.4999999999999998E-2</v>
      </c>
      <c r="G31" s="328">
        <f>+G8</f>
        <v>0.05</v>
      </c>
      <c r="H31" s="328">
        <f>+H8</f>
        <v>4.5999999999999999E-2</v>
      </c>
      <c r="I31" s="329">
        <f>+I8</f>
        <v>4.7500000000000001E-2</v>
      </c>
    </row>
    <row r="32" spans="1:9" x14ac:dyDescent="0.25">
      <c r="A32" s="300" t="s">
        <v>708</v>
      </c>
      <c r="B32" s="296"/>
      <c r="C32" s="296"/>
      <c r="D32" s="296"/>
      <c r="E32" s="296"/>
      <c r="F32" s="332">
        <f>+B87</f>
        <v>0.63407487580549982</v>
      </c>
      <c r="G32" s="332">
        <f>+C87</f>
        <v>0.70463696390626918</v>
      </c>
      <c r="H32" s="332">
        <f t="shared" ref="H32:I32" si="9">+D87</f>
        <v>0.73781806281003159</v>
      </c>
      <c r="I32" s="334">
        <f t="shared" si="9"/>
        <v>0.57020192489249255</v>
      </c>
    </row>
    <row r="33" spans="1:15" x14ac:dyDescent="0.25">
      <c r="A33" s="300" t="s">
        <v>709</v>
      </c>
      <c r="B33" s="296"/>
      <c r="C33" s="296"/>
      <c r="D33" s="296"/>
      <c r="E33" s="296"/>
      <c r="F33" s="332">
        <f>+F31/F32</f>
        <v>7.096953643342839E-2</v>
      </c>
      <c r="G33" s="332">
        <f t="shared" ref="G33:I33" si="10">+G31/G32</f>
        <v>7.0958525540324904E-2</v>
      </c>
      <c r="H33" s="332">
        <f t="shared" si="10"/>
        <v>6.23459932992231E-2</v>
      </c>
      <c r="I33" s="334">
        <f t="shared" si="10"/>
        <v>8.3303822604519934E-2</v>
      </c>
    </row>
    <row r="34" spans="1:15" x14ac:dyDescent="0.25">
      <c r="A34" s="300" t="s">
        <v>205</v>
      </c>
      <c r="B34" s="296"/>
      <c r="C34" s="296"/>
      <c r="D34" s="296"/>
      <c r="E34" s="296"/>
      <c r="F34" s="297">
        <f>+F33-F31</f>
        <v>2.5969536433428392E-2</v>
      </c>
      <c r="G34" s="297">
        <f t="shared" ref="G34:I34" si="11">+G33-G31</f>
        <v>2.0958525540324902E-2</v>
      </c>
      <c r="H34" s="297">
        <f t="shared" si="11"/>
        <v>1.6345993299223101E-2</v>
      </c>
      <c r="I34" s="311">
        <f t="shared" si="11"/>
        <v>3.5803822604519933E-2</v>
      </c>
    </row>
    <row r="35" spans="1:15" x14ac:dyDescent="0.25">
      <c r="A35" s="300" t="s">
        <v>10</v>
      </c>
      <c r="B35" s="296"/>
      <c r="C35" s="296"/>
      <c r="D35" s="296"/>
      <c r="E35" s="296"/>
      <c r="F35" s="312">
        <f>+F34*F30</f>
        <v>107.12433778789212</v>
      </c>
      <c r="G35" s="312">
        <f t="shared" ref="G35:I35" si="12">+G34*G30</f>
        <v>20.631048578757326</v>
      </c>
      <c r="H35" s="312">
        <f t="shared" si="12"/>
        <v>68.108305413429591</v>
      </c>
      <c r="I35" s="313">
        <f t="shared" si="12"/>
        <v>206.43141470418524</v>
      </c>
    </row>
    <row r="36" spans="1:15" x14ac:dyDescent="0.25">
      <c r="A36" s="300"/>
      <c r="B36" s="296"/>
      <c r="C36" s="296"/>
      <c r="D36" s="296"/>
      <c r="E36" s="296"/>
      <c r="F36" s="312"/>
      <c r="G36" s="312"/>
      <c r="H36" s="312"/>
      <c r="I36" s="313"/>
    </row>
    <row r="37" spans="1:15" x14ac:dyDescent="0.25">
      <c r="A37" s="300" t="s">
        <v>710</v>
      </c>
      <c r="B37" s="296"/>
      <c r="C37" s="296"/>
      <c r="D37" s="296"/>
      <c r="E37" s="296"/>
      <c r="F37" s="314">
        <f>+(1+0.05)^3</f>
        <v>1.1576250000000001</v>
      </c>
      <c r="G37" s="314">
        <f>+(1+0.05)^2</f>
        <v>1.1025</v>
      </c>
      <c r="H37" s="314">
        <f>+(1+0.05)^1</f>
        <v>1.05</v>
      </c>
      <c r="I37" s="302"/>
    </row>
    <row r="38" spans="1:15" x14ac:dyDescent="0.25">
      <c r="A38" s="300" t="s">
        <v>711</v>
      </c>
      <c r="B38" s="296"/>
      <c r="C38" s="296"/>
      <c r="D38" s="296"/>
      <c r="E38" s="296"/>
      <c r="F38" s="312">
        <f>+F35*F37</f>
        <v>124.00981153170862</v>
      </c>
      <c r="G38" s="312">
        <f>+G35*G37</f>
        <v>22.745731058079954</v>
      </c>
      <c r="H38" s="312">
        <f>+H35*H37</f>
        <v>71.513720684101074</v>
      </c>
      <c r="I38" s="313">
        <f>+I35</f>
        <v>206.43141470418524</v>
      </c>
    </row>
    <row r="39" spans="1:15" ht="16.5" thickBot="1" x14ac:dyDescent="0.3">
      <c r="A39" s="315" t="s">
        <v>206</v>
      </c>
      <c r="B39" s="316"/>
      <c r="C39" s="316"/>
      <c r="D39" s="316"/>
      <c r="E39" s="316"/>
      <c r="F39" s="316">
        <f>+F38</f>
        <v>124.00981153170862</v>
      </c>
      <c r="G39" s="316">
        <f>+F39+G38</f>
        <v>146.75554258978858</v>
      </c>
      <c r="H39" s="316">
        <f>+G39+H38</f>
        <v>218.26926327388964</v>
      </c>
      <c r="I39" s="317">
        <f>+H39+I38</f>
        <v>424.70067797807485</v>
      </c>
    </row>
    <row r="45" spans="1:15" x14ac:dyDescent="0.25">
      <c r="A45" s="288" t="s">
        <v>11</v>
      </c>
      <c r="B45" s="288"/>
    </row>
    <row r="46" spans="1:15" x14ac:dyDescent="0.25">
      <c r="A46" s="289" t="s">
        <v>12</v>
      </c>
    </row>
    <row r="47" spans="1:15" x14ac:dyDescent="0.25">
      <c r="B47" s="288">
        <v>1994</v>
      </c>
      <c r="C47" s="288">
        <v>1995</v>
      </c>
      <c r="D47" s="288">
        <v>1996</v>
      </c>
      <c r="E47" s="288">
        <v>1997</v>
      </c>
    </row>
    <row r="48" spans="1:15" x14ac:dyDescent="0.25">
      <c r="A48" s="290" t="s">
        <v>13</v>
      </c>
      <c r="B48" s="291">
        <v>69503.278999999995</v>
      </c>
      <c r="C48" s="291">
        <v>102044.702</v>
      </c>
      <c r="D48" s="291">
        <v>126448.177</v>
      </c>
      <c r="E48" s="291">
        <v>94021.146999999997</v>
      </c>
      <c r="F48" s="291"/>
      <c r="L48" s="291"/>
      <c r="M48" s="291"/>
      <c r="N48" s="291"/>
      <c r="O48" s="291"/>
    </row>
    <row r="49" spans="1:15" x14ac:dyDescent="0.25">
      <c r="A49" s="290" t="s">
        <v>14</v>
      </c>
      <c r="B49" s="291">
        <v>44070.283000000003</v>
      </c>
      <c r="C49" s="291">
        <v>71904.468999999997</v>
      </c>
      <c r="D49" s="291">
        <v>93295.748999999996</v>
      </c>
      <c r="E49" s="291">
        <v>53611.038999999997</v>
      </c>
      <c r="F49" s="291"/>
      <c r="L49" s="291"/>
      <c r="M49" s="291"/>
      <c r="N49" s="291"/>
      <c r="O49" s="291"/>
    </row>
    <row r="50" spans="1:15" x14ac:dyDescent="0.25">
      <c r="A50" s="292" t="s">
        <v>15</v>
      </c>
      <c r="B50" s="293">
        <v>25432.995999999999</v>
      </c>
      <c r="C50" s="293">
        <v>30140.233</v>
      </c>
      <c r="D50" s="293">
        <v>33152.428</v>
      </c>
      <c r="E50" s="293">
        <v>40410.108</v>
      </c>
      <c r="L50" s="291"/>
      <c r="M50" s="291"/>
      <c r="N50" s="291"/>
      <c r="O50" s="291"/>
    </row>
    <row r="51" spans="1:15" x14ac:dyDescent="0.25">
      <c r="A51" s="290" t="s">
        <v>16</v>
      </c>
      <c r="B51" s="291">
        <v>7726.902</v>
      </c>
      <c r="C51" s="291">
        <v>7722.4709999999995</v>
      </c>
      <c r="D51" s="291">
        <v>9722.7579999999998</v>
      </c>
      <c r="E51" s="291">
        <v>6764.0420000000004</v>
      </c>
      <c r="L51" s="291"/>
      <c r="M51" s="291"/>
      <c r="N51" s="291"/>
      <c r="O51" s="291"/>
    </row>
    <row r="52" spans="1:15" ht="31.5" x14ac:dyDescent="0.25">
      <c r="A52" s="290" t="s">
        <v>17</v>
      </c>
      <c r="B52" s="291">
        <v>1342.0170000000001</v>
      </c>
      <c r="C52" s="291">
        <v>1248.289</v>
      </c>
      <c r="D52" s="291">
        <v>693.43200000000002</v>
      </c>
      <c r="E52" s="291">
        <v>461.327</v>
      </c>
      <c r="L52" s="291"/>
      <c r="M52" s="291"/>
      <c r="N52" s="291"/>
      <c r="O52" s="291"/>
    </row>
    <row r="53" spans="1:15" x14ac:dyDescent="0.25">
      <c r="A53" s="292" t="s">
        <v>18</v>
      </c>
      <c r="B53" s="293">
        <v>34501.915999999997</v>
      </c>
      <c r="C53" s="293">
        <v>39110.993000000002</v>
      </c>
      <c r="D53" s="293">
        <v>43568.618000000002</v>
      </c>
      <c r="E53" s="293">
        <v>47635.476999999999</v>
      </c>
      <c r="L53" s="291"/>
      <c r="M53" s="291"/>
      <c r="N53" s="291"/>
      <c r="O53" s="291"/>
    </row>
    <row r="54" spans="1:15" x14ac:dyDescent="0.25">
      <c r="A54" s="290" t="s">
        <v>19</v>
      </c>
      <c r="B54" s="291">
        <v>13996.403</v>
      </c>
      <c r="C54" s="291">
        <v>15454.853999999999</v>
      </c>
      <c r="D54" s="291">
        <v>14683.563</v>
      </c>
      <c r="E54" s="291">
        <v>13711.022999999999</v>
      </c>
      <c r="L54" s="291"/>
      <c r="M54" s="291"/>
      <c r="N54" s="291"/>
      <c r="O54" s="291"/>
    </row>
    <row r="55" spans="1:15" x14ac:dyDescent="0.25">
      <c r="A55" s="290" t="s">
        <v>20</v>
      </c>
      <c r="B55" s="291">
        <v>2152.989</v>
      </c>
      <c r="C55" s="291">
        <v>2456.3539999999998</v>
      </c>
      <c r="D55" s="291">
        <v>2311.7890000000002</v>
      </c>
      <c r="E55" s="291">
        <v>2134.4070000000002</v>
      </c>
      <c r="L55" s="291"/>
      <c r="M55" s="291"/>
      <c r="N55" s="291"/>
      <c r="O55" s="291"/>
    </row>
    <row r="56" spans="1:15" x14ac:dyDescent="0.25">
      <c r="A56" s="290" t="s">
        <v>21</v>
      </c>
      <c r="B56" s="291">
        <v>71.25</v>
      </c>
      <c r="C56" s="291">
        <v>495.54199999999997</v>
      </c>
      <c r="D56" s="291">
        <v>0</v>
      </c>
      <c r="E56" s="291">
        <v>0</v>
      </c>
      <c r="L56" s="291"/>
      <c r="M56" s="291"/>
      <c r="N56" s="291"/>
      <c r="O56" s="291"/>
    </row>
    <row r="57" spans="1:15" ht="31.5" x14ac:dyDescent="0.25">
      <c r="A57" s="290" t="s">
        <v>22</v>
      </c>
      <c r="B57" s="291">
        <v>5391.7420000000002</v>
      </c>
      <c r="C57" s="291">
        <v>7574.9650000000001</v>
      </c>
      <c r="D57" s="291">
        <v>6075.34</v>
      </c>
      <c r="E57" s="291">
        <v>4068.0309999999999</v>
      </c>
      <c r="L57" s="291"/>
      <c r="M57" s="291"/>
      <c r="N57" s="291"/>
      <c r="O57" s="291"/>
    </row>
    <row r="58" spans="1:15" x14ac:dyDescent="0.25">
      <c r="A58" s="290" t="s">
        <v>23</v>
      </c>
      <c r="B58" s="291">
        <v>962.64700000000005</v>
      </c>
      <c r="C58" s="291">
        <v>1269.046</v>
      </c>
      <c r="D58" s="291">
        <v>800.33799999999997</v>
      </c>
      <c r="E58" s="291">
        <v>799.34299999999996</v>
      </c>
      <c r="L58" s="291"/>
      <c r="M58" s="291"/>
      <c r="N58" s="291"/>
      <c r="O58" s="291"/>
    </row>
    <row r="59" spans="1:15" x14ac:dyDescent="0.25">
      <c r="A59" s="292" t="s">
        <v>24</v>
      </c>
      <c r="B59" s="293">
        <v>52770.968999999997</v>
      </c>
      <c r="C59" s="293">
        <v>61449.046000000002</v>
      </c>
      <c r="D59" s="293">
        <v>62816.07</v>
      </c>
      <c r="E59" s="293">
        <v>64079.466999999997</v>
      </c>
      <c r="L59" s="291"/>
      <c r="M59" s="291"/>
      <c r="N59" s="291"/>
      <c r="O59" s="291"/>
    </row>
    <row r="60" spans="1:15" ht="31.5" x14ac:dyDescent="0.25">
      <c r="A60" s="290" t="s">
        <v>25</v>
      </c>
      <c r="B60" s="291">
        <v>2555.9569999999999</v>
      </c>
      <c r="C60" s="291">
        <v>2493.511</v>
      </c>
      <c r="D60" s="291">
        <v>8353.4509999999991</v>
      </c>
      <c r="E60" s="291">
        <v>0</v>
      </c>
      <c r="L60" s="291"/>
      <c r="M60" s="291"/>
      <c r="N60" s="291"/>
      <c r="O60" s="291"/>
    </row>
    <row r="61" spans="1:15" x14ac:dyDescent="0.25">
      <c r="A61" s="290" t="s">
        <v>26</v>
      </c>
      <c r="B61" s="291">
        <v>1530.5619999999999</v>
      </c>
      <c r="C61" s="291">
        <v>1559.671</v>
      </c>
      <c r="D61" s="291">
        <v>0</v>
      </c>
      <c r="E61" s="291">
        <v>0</v>
      </c>
      <c r="L61" s="291"/>
      <c r="M61" s="291"/>
      <c r="N61" s="291"/>
      <c r="O61" s="291"/>
    </row>
    <row r="62" spans="1:15" x14ac:dyDescent="0.25">
      <c r="A62" s="290" t="s">
        <v>27</v>
      </c>
      <c r="B62" s="291">
        <v>1457.424</v>
      </c>
      <c r="C62" s="291">
        <v>1446.452</v>
      </c>
      <c r="D62" s="291">
        <v>421.78500000000003</v>
      </c>
      <c r="E62" s="291">
        <v>8848.6080000000002</v>
      </c>
      <c r="L62" s="291"/>
      <c r="M62" s="291"/>
      <c r="N62" s="291"/>
      <c r="O62" s="291"/>
    </row>
    <row r="63" spans="1:15" x14ac:dyDescent="0.25">
      <c r="A63" s="292" t="s">
        <v>28</v>
      </c>
      <c r="B63" s="293">
        <v>55253.788</v>
      </c>
      <c r="C63" s="293">
        <v>63829.338000000003</v>
      </c>
      <c r="D63" s="293">
        <v>64906.517999999996</v>
      </c>
      <c r="E63" s="293">
        <v>65838.899999999994</v>
      </c>
      <c r="L63" s="291"/>
      <c r="M63" s="291"/>
      <c r="N63" s="291"/>
      <c r="O63" s="291"/>
    </row>
    <row r="64" spans="1:15" x14ac:dyDescent="0.25">
      <c r="A64" s="290" t="s">
        <v>29</v>
      </c>
      <c r="B64" s="291">
        <v>15230.456</v>
      </c>
      <c r="C64" s="291">
        <v>16636.791000000001</v>
      </c>
      <c r="D64" s="291">
        <v>17522.52</v>
      </c>
      <c r="E64" s="291">
        <v>17550.448</v>
      </c>
      <c r="L64" s="291"/>
      <c r="M64" s="291"/>
      <c r="N64" s="291"/>
      <c r="O64" s="291"/>
    </row>
    <row r="65" spans="1:15" ht="31.5" x14ac:dyDescent="0.25">
      <c r="A65" s="290" t="s">
        <v>30</v>
      </c>
      <c r="B65" s="291">
        <v>7591.51</v>
      </c>
      <c r="C65" s="291">
        <v>8495.2880000000005</v>
      </c>
      <c r="D65" s="291">
        <v>9123.0040000000008</v>
      </c>
      <c r="E65" s="291">
        <v>4840.4290000000001</v>
      </c>
      <c r="L65" s="291"/>
      <c r="M65" s="291"/>
      <c r="N65" s="291"/>
      <c r="O65" s="291"/>
    </row>
    <row r="66" spans="1:15" x14ac:dyDescent="0.25">
      <c r="A66" s="290" t="s">
        <v>31</v>
      </c>
      <c r="B66" s="291">
        <v>2081.4969999999998</v>
      </c>
      <c r="C66" s="291">
        <v>2213.6849999999999</v>
      </c>
      <c r="D66" s="291">
        <v>2308.2330000000002</v>
      </c>
      <c r="E66" s="291">
        <v>2512.5149999999999</v>
      </c>
      <c r="L66" s="291"/>
      <c r="M66" s="291"/>
      <c r="N66" s="291"/>
      <c r="O66" s="291"/>
    </row>
    <row r="67" spans="1:15" x14ac:dyDescent="0.25">
      <c r="A67" s="290" t="s">
        <v>32</v>
      </c>
      <c r="B67" s="291">
        <v>672.29399999999998</v>
      </c>
      <c r="C67" s="291">
        <v>671.6</v>
      </c>
      <c r="D67" s="291">
        <v>0</v>
      </c>
      <c r="E67" s="291">
        <v>0</v>
      </c>
      <c r="L67" s="291"/>
      <c r="M67" s="291"/>
      <c r="N67" s="291"/>
      <c r="O67" s="291"/>
    </row>
    <row r="68" spans="1:15" x14ac:dyDescent="0.25">
      <c r="A68" s="292" t="s">
        <v>33</v>
      </c>
      <c r="B68" s="293">
        <v>29678.030999999999</v>
      </c>
      <c r="C68" s="293">
        <v>35811.974000000002</v>
      </c>
      <c r="D68" s="293">
        <v>35952.760999999999</v>
      </c>
      <c r="E68" s="293">
        <v>40935.508000000002</v>
      </c>
      <c r="L68" s="291"/>
      <c r="M68" s="291"/>
      <c r="N68" s="291"/>
      <c r="O68" s="291"/>
    </row>
    <row r="69" spans="1:15" x14ac:dyDescent="0.25">
      <c r="A69" s="290" t="s">
        <v>34</v>
      </c>
      <c r="B69" s="291">
        <v>5993.1559999999999</v>
      </c>
      <c r="C69" s="291">
        <v>9137.65</v>
      </c>
      <c r="D69" s="291">
        <v>15823.05</v>
      </c>
      <c r="E69" s="291">
        <v>22289.424999999999</v>
      </c>
      <c r="L69" s="291"/>
      <c r="M69" s="291"/>
      <c r="N69" s="291"/>
      <c r="O69" s="291"/>
    </row>
    <row r="70" spans="1:15" x14ac:dyDescent="0.25">
      <c r="A70" s="290" t="s">
        <v>35</v>
      </c>
      <c r="B70" s="291">
        <v>3125.3890000000001</v>
      </c>
      <c r="C70" s="291">
        <v>1143.6669999999999</v>
      </c>
      <c r="D70" s="291">
        <v>3474.11</v>
      </c>
      <c r="E70" s="291">
        <v>1002.351</v>
      </c>
      <c r="L70" s="291"/>
      <c r="M70" s="291"/>
      <c r="N70" s="291"/>
      <c r="O70" s="291"/>
    </row>
    <row r="71" spans="1:15" ht="31.5" x14ac:dyDescent="0.25">
      <c r="A71" s="290" t="s">
        <v>36</v>
      </c>
      <c r="B71" s="291">
        <v>36.326000000000001</v>
      </c>
      <c r="C71" s="291">
        <v>40.564</v>
      </c>
      <c r="D71" s="291">
        <v>0</v>
      </c>
      <c r="E71" s="291">
        <v>0</v>
      </c>
      <c r="L71" s="291"/>
      <c r="M71" s="291"/>
      <c r="N71" s="291"/>
      <c r="O71" s="291"/>
    </row>
    <row r="72" spans="1:15" ht="31.5" x14ac:dyDescent="0.25">
      <c r="A72" s="290" t="s">
        <v>37</v>
      </c>
      <c r="B72" s="291">
        <v>135.52099999999999</v>
      </c>
      <c r="C72" s="291">
        <v>141.036</v>
      </c>
      <c r="D72" s="291">
        <v>0</v>
      </c>
      <c r="E72" s="291">
        <v>0</v>
      </c>
      <c r="L72" s="291"/>
      <c r="M72" s="291"/>
      <c r="N72" s="291"/>
      <c r="O72" s="291"/>
    </row>
    <row r="73" spans="1:15" x14ac:dyDescent="0.25">
      <c r="A73" s="290" t="s">
        <v>38</v>
      </c>
      <c r="B73" s="291">
        <v>4201.2299999999996</v>
      </c>
      <c r="C73" s="291">
        <v>3989.7860000000001</v>
      </c>
      <c r="D73" s="291">
        <v>3818.4430000000002</v>
      </c>
      <c r="E73" s="291">
        <v>4481.42</v>
      </c>
      <c r="L73" s="291"/>
      <c r="M73" s="291"/>
      <c r="N73" s="291"/>
      <c r="O73" s="291"/>
    </row>
    <row r="74" spans="1:15" x14ac:dyDescent="0.25">
      <c r="A74" s="290" t="s">
        <v>39</v>
      </c>
      <c r="B74" s="291">
        <v>387.928</v>
      </c>
      <c r="C74" s="291">
        <v>792.43100000000004</v>
      </c>
      <c r="D74" s="291">
        <v>853.12699999999995</v>
      </c>
      <c r="E74" s="291">
        <v>2649.5790000000002</v>
      </c>
      <c r="L74" s="291"/>
      <c r="M74" s="291"/>
      <c r="N74" s="291"/>
      <c r="O74" s="291"/>
    </row>
    <row r="75" spans="1:15" x14ac:dyDescent="0.25">
      <c r="A75" s="292" t="s">
        <v>40</v>
      </c>
      <c r="B75" s="293">
        <v>24273.593000000001</v>
      </c>
      <c r="C75" s="293">
        <v>28627.54</v>
      </c>
      <c r="D75" s="293">
        <v>19620.917000000001</v>
      </c>
      <c r="E75" s="293">
        <v>19475.573</v>
      </c>
      <c r="L75" s="291"/>
      <c r="M75" s="291"/>
      <c r="N75" s="291"/>
      <c r="O75" s="291"/>
    </row>
    <row r="76" spans="1:15" x14ac:dyDescent="0.25">
      <c r="A76" s="290" t="s">
        <v>41</v>
      </c>
      <c r="B76" s="291">
        <v>5346.7439999999997</v>
      </c>
      <c r="C76" s="291">
        <v>4313.21</v>
      </c>
      <c r="D76" s="291">
        <v>1756.921</v>
      </c>
      <c r="E76" s="291">
        <v>1282.598</v>
      </c>
      <c r="L76" s="291"/>
      <c r="M76" s="291"/>
      <c r="N76" s="291"/>
      <c r="O76" s="291"/>
    </row>
    <row r="77" spans="1:15" ht="31.5" x14ac:dyDescent="0.25">
      <c r="A77" s="290" t="s">
        <v>42</v>
      </c>
      <c r="B77" s="291">
        <v>0</v>
      </c>
      <c r="C77" s="291">
        <v>0</v>
      </c>
      <c r="D77" s="291">
        <v>0</v>
      </c>
      <c r="E77" s="291">
        <v>0</v>
      </c>
      <c r="L77" s="291"/>
      <c r="M77" s="291"/>
      <c r="N77" s="291"/>
      <c r="O77" s="291"/>
    </row>
    <row r="78" spans="1:15" x14ac:dyDescent="0.25">
      <c r="A78" s="292" t="s">
        <v>43</v>
      </c>
      <c r="B78" s="293">
        <v>18926.848000000002</v>
      </c>
      <c r="C78" s="293">
        <v>24314.33</v>
      </c>
      <c r="D78" s="293">
        <v>17863.998</v>
      </c>
      <c r="E78" s="293">
        <v>13821.46</v>
      </c>
      <c r="L78" s="291"/>
      <c r="M78" s="291"/>
      <c r="N78" s="291"/>
      <c r="O78" s="291"/>
    </row>
    <row r="79" spans="1:15" ht="31.5" x14ac:dyDescent="0.25">
      <c r="A79" s="290" t="s">
        <v>44</v>
      </c>
      <c r="B79" s="291">
        <v>1840.585</v>
      </c>
      <c r="C79" s="291">
        <v>6.0000000000000001E-3</v>
      </c>
      <c r="D79" s="291">
        <v>463.55700000000002</v>
      </c>
      <c r="E79" s="291">
        <v>-35.130000000000003</v>
      </c>
      <c r="L79" s="291"/>
      <c r="M79" s="291"/>
      <c r="N79" s="291"/>
      <c r="O79" s="291"/>
    </row>
    <row r="80" spans="1:15" x14ac:dyDescent="0.25">
      <c r="A80" s="292" t="s">
        <v>45</v>
      </c>
      <c r="B80" s="293">
        <v>20767.433000000001</v>
      </c>
      <c r="C80" s="293">
        <v>24314.335999999999</v>
      </c>
      <c r="D80" s="293">
        <v>18327.554</v>
      </c>
      <c r="E80" s="293">
        <v>13786.333000000001</v>
      </c>
      <c r="L80" s="291"/>
      <c r="M80" s="291"/>
      <c r="N80" s="291"/>
      <c r="O80" s="291"/>
    </row>
    <row r="83" spans="1:5" x14ac:dyDescent="0.25">
      <c r="A83" s="288" t="s">
        <v>11</v>
      </c>
      <c r="B83" s="288"/>
    </row>
    <row r="84" spans="1:5" x14ac:dyDescent="0.25">
      <c r="A84" s="289" t="s">
        <v>46</v>
      </c>
    </row>
    <row r="85" spans="1:5" x14ac:dyDescent="0.25">
      <c r="B85" s="288">
        <v>1994</v>
      </c>
      <c r="C85" s="288">
        <v>1995</v>
      </c>
      <c r="D85" s="288">
        <v>1996</v>
      </c>
      <c r="E85" s="288">
        <v>1997</v>
      </c>
    </row>
    <row r="86" spans="1:5" x14ac:dyDescent="0.25">
      <c r="A86" s="290" t="s">
        <v>13</v>
      </c>
      <c r="B86" s="294">
        <f t="shared" ref="B86:E105" si="13">+B48/B$48</f>
        <v>1</v>
      </c>
      <c r="C86" s="294">
        <f t="shared" si="13"/>
        <v>1</v>
      </c>
      <c r="D86" s="294">
        <f t="shared" si="13"/>
        <v>1</v>
      </c>
      <c r="E86" s="294">
        <f t="shared" si="13"/>
        <v>1</v>
      </c>
    </row>
    <row r="87" spans="1:5" x14ac:dyDescent="0.25">
      <c r="A87" s="290" t="s">
        <v>14</v>
      </c>
      <c r="B87" s="333">
        <f t="shared" si="13"/>
        <v>0.63407487580549982</v>
      </c>
      <c r="C87" s="333">
        <f t="shared" si="13"/>
        <v>0.70463696390626918</v>
      </c>
      <c r="D87" s="333">
        <f t="shared" si="13"/>
        <v>0.73781806281003159</v>
      </c>
      <c r="E87" s="333">
        <f t="shared" si="13"/>
        <v>0.57020192489249255</v>
      </c>
    </row>
    <row r="88" spans="1:5" x14ac:dyDescent="0.25">
      <c r="A88" s="292" t="s">
        <v>15</v>
      </c>
      <c r="B88" s="295">
        <f t="shared" si="13"/>
        <v>0.36592512419450024</v>
      </c>
      <c r="C88" s="295">
        <f t="shared" si="13"/>
        <v>0.29536303609373077</v>
      </c>
      <c r="D88" s="295">
        <f t="shared" si="13"/>
        <v>0.26218193718996835</v>
      </c>
      <c r="E88" s="295">
        <f t="shared" si="13"/>
        <v>0.4297980751075075</v>
      </c>
    </row>
    <row r="89" spans="1:5" x14ac:dyDescent="0.25">
      <c r="A89" s="290" t="s">
        <v>16</v>
      </c>
      <c r="B89" s="294">
        <f t="shared" si="13"/>
        <v>0.1111732009075428</v>
      </c>
      <c r="C89" s="294">
        <f t="shared" si="13"/>
        <v>7.5677334037390784E-2</v>
      </c>
      <c r="D89" s="294">
        <f t="shared" si="13"/>
        <v>7.6891246917699732E-2</v>
      </c>
      <c r="E89" s="294">
        <f t="shared" si="13"/>
        <v>7.194170902850186E-2</v>
      </c>
    </row>
    <row r="90" spans="1:5" ht="31.5" x14ac:dyDescent="0.25">
      <c r="A90" s="290" t="s">
        <v>17</v>
      </c>
      <c r="B90" s="294">
        <f t="shared" si="13"/>
        <v>1.9308686141268242E-2</v>
      </c>
      <c r="C90" s="294">
        <f t="shared" si="13"/>
        <v>1.2232766381149311E-2</v>
      </c>
      <c r="D90" s="294">
        <f t="shared" si="13"/>
        <v>5.4839224767945843E-3</v>
      </c>
      <c r="E90" s="294">
        <f t="shared" si="13"/>
        <v>4.9066302073511184E-3</v>
      </c>
    </row>
    <row r="91" spans="1:5" x14ac:dyDescent="0.25">
      <c r="A91" s="292" t="s">
        <v>18</v>
      </c>
      <c r="B91" s="295">
        <f t="shared" si="13"/>
        <v>0.49640702563112166</v>
      </c>
      <c r="C91" s="295">
        <f t="shared" si="13"/>
        <v>0.38327313651227085</v>
      </c>
      <c r="D91" s="295">
        <f t="shared" si="13"/>
        <v>0.3445571065844627</v>
      </c>
      <c r="E91" s="295">
        <f t="shared" si="13"/>
        <v>0.50664641434336044</v>
      </c>
    </row>
    <row r="92" spans="1:5" x14ac:dyDescent="0.25">
      <c r="A92" s="290" t="s">
        <v>19</v>
      </c>
      <c r="B92" s="294">
        <f t="shared" si="13"/>
        <v>0.20137759255933813</v>
      </c>
      <c r="C92" s="294">
        <f t="shared" si="13"/>
        <v>0.15145180197596148</v>
      </c>
      <c r="D92" s="294">
        <f t="shared" si="13"/>
        <v>0.11612316878241749</v>
      </c>
      <c r="E92" s="294">
        <f t="shared" si="13"/>
        <v>0.14582913990615323</v>
      </c>
    </row>
    <row r="93" spans="1:5" x14ac:dyDescent="0.25">
      <c r="A93" s="290" t="s">
        <v>20</v>
      </c>
      <c r="B93" s="294">
        <f t="shared" si="13"/>
        <v>3.0976797511956238E-2</v>
      </c>
      <c r="C93" s="294">
        <f t="shared" si="13"/>
        <v>2.4071352572522575E-2</v>
      </c>
      <c r="D93" s="294">
        <f t="shared" si="13"/>
        <v>1.8282501613289374E-2</v>
      </c>
      <c r="E93" s="294">
        <f t="shared" si="13"/>
        <v>2.2701350367487012E-2</v>
      </c>
    </row>
    <row r="94" spans="1:5" x14ac:dyDescent="0.25">
      <c r="A94" s="290" t="s">
        <v>21</v>
      </c>
      <c r="B94" s="294">
        <f t="shared" si="13"/>
        <v>1.0251314905588844E-3</v>
      </c>
      <c r="C94" s="294">
        <f t="shared" si="13"/>
        <v>4.8561266806384515E-3</v>
      </c>
      <c r="D94" s="294">
        <f t="shared" si="13"/>
        <v>0</v>
      </c>
      <c r="E94" s="294">
        <f t="shared" si="13"/>
        <v>0</v>
      </c>
    </row>
    <row r="95" spans="1:5" ht="31.5" x14ac:dyDescent="0.25">
      <c r="A95" s="290" t="s">
        <v>22</v>
      </c>
      <c r="B95" s="294">
        <f t="shared" si="13"/>
        <v>7.7575361588336E-2</v>
      </c>
      <c r="C95" s="294">
        <f t="shared" si="13"/>
        <v>7.4231830281595607E-2</v>
      </c>
      <c r="D95" s="294">
        <f t="shared" si="13"/>
        <v>4.80460861052983E-2</v>
      </c>
      <c r="E95" s="294">
        <f t="shared" si="13"/>
        <v>4.3267191794628929E-2</v>
      </c>
    </row>
    <row r="96" spans="1:5" x14ac:dyDescent="0.25">
      <c r="A96" s="290" t="s">
        <v>23</v>
      </c>
      <c r="B96" s="294">
        <f t="shared" si="13"/>
        <v>1.385038251216896E-2</v>
      </c>
      <c r="C96" s="294">
        <f t="shared" si="13"/>
        <v>1.2436177235345349E-2</v>
      </c>
      <c r="D96" s="294">
        <f t="shared" si="13"/>
        <v>6.3293755512188994E-3</v>
      </c>
      <c r="E96" s="294">
        <f t="shared" si="13"/>
        <v>8.5017363168309358E-3</v>
      </c>
    </row>
    <row r="97" spans="1:5" x14ac:dyDescent="0.25">
      <c r="A97" s="292" t="s">
        <v>24</v>
      </c>
      <c r="B97" s="295">
        <f t="shared" si="13"/>
        <v>0.75925869626956743</v>
      </c>
      <c r="C97" s="295">
        <f t="shared" si="13"/>
        <v>0.60217772011328918</v>
      </c>
      <c r="D97" s="295">
        <f t="shared" si="13"/>
        <v>0.49677323541010798</v>
      </c>
      <c r="E97" s="295">
        <f t="shared" si="13"/>
        <v>0.68154313199348648</v>
      </c>
    </row>
    <row r="98" spans="1:5" ht="31.5" x14ac:dyDescent="0.25">
      <c r="A98" s="290" t="s">
        <v>25</v>
      </c>
      <c r="B98" s="294">
        <f t="shared" si="13"/>
        <v>3.6774624690728619E-2</v>
      </c>
      <c r="C98" s="294">
        <f t="shared" si="13"/>
        <v>2.4435477306798348E-2</v>
      </c>
      <c r="D98" s="294">
        <f t="shared" si="13"/>
        <v>6.6062249359277042E-2</v>
      </c>
      <c r="E98" s="294">
        <f t="shared" si="13"/>
        <v>0</v>
      </c>
    </row>
    <row r="99" spans="1:5" x14ac:dyDescent="0.25">
      <c r="A99" s="290" t="s">
        <v>26</v>
      </c>
      <c r="B99" s="294">
        <f t="shared" si="13"/>
        <v>2.2021435851968942E-2</v>
      </c>
      <c r="C99" s="294">
        <f t="shared" si="13"/>
        <v>1.5284193784014383E-2</v>
      </c>
      <c r="D99" s="294">
        <f t="shared" si="13"/>
        <v>0</v>
      </c>
      <c r="E99" s="294">
        <f t="shared" si="13"/>
        <v>0</v>
      </c>
    </row>
    <row r="100" spans="1:5" x14ac:dyDescent="0.25">
      <c r="A100" s="290" t="s">
        <v>27</v>
      </c>
      <c r="B100" s="294">
        <f t="shared" si="13"/>
        <v>2.0969140175386546E-2</v>
      </c>
      <c r="C100" s="294">
        <f t="shared" si="13"/>
        <v>1.4174689833481016E-2</v>
      </c>
      <c r="D100" s="294">
        <f t="shared" si="13"/>
        <v>3.3356352776837584E-3</v>
      </c>
      <c r="E100" s="294">
        <f t="shared" si="13"/>
        <v>9.4112955248248573E-2</v>
      </c>
    </row>
    <row r="101" spans="1:5" x14ac:dyDescent="0.25">
      <c r="A101" s="292" t="s">
        <v>28</v>
      </c>
      <c r="B101" s="295">
        <f t="shared" si="13"/>
        <v>0.79498102528371362</v>
      </c>
      <c r="C101" s="295">
        <f t="shared" si="13"/>
        <v>0.62550369346955415</v>
      </c>
      <c r="D101" s="295">
        <f t="shared" si="13"/>
        <v>0.51330528869546299</v>
      </c>
      <c r="E101" s="295">
        <f t="shared" si="13"/>
        <v>0.70025629446958348</v>
      </c>
    </row>
    <row r="102" spans="1:5" x14ac:dyDescent="0.25">
      <c r="A102" s="290" t="s">
        <v>29</v>
      </c>
      <c r="B102" s="294">
        <f t="shared" si="13"/>
        <v>0.21913291313924918</v>
      </c>
      <c r="C102" s="294">
        <f t="shared" si="13"/>
        <v>0.16303434351741261</v>
      </c>
      <c r="D102" s="294">
        <f t="shared" si="13"/>
        <v>0.13857471428789361</v>
      </c>
      <c r="E102" s="294">
        <f t="shared" si="13"/>
        <v>0.18666489997191804</v>
      </c>
    </row>
    <row r="103" spans="1:5" ht="31.5" x14ac:dyDescent="0.25">
      <c r="A103" s="290" t="s">
        <v>30</v>
      </c>
      <c r="B103" s="294">
        <f t="shared" si="13"/>
        <v>0.10922520648270423</v>
      </c>
      <c r="C103" s="294">
        <f t="shared" si="13"/>
        <v>8.3250652248462634E-2</v>
      </c>
      <c r="D103" s="294">
        <f t="shared" si="13"/>
        <v>7.214816548917112E-2</v>
      </c>
      <c r="E103" s="294">
        <f t="shared" si="13"/>
        <v>5.1482343647647699E-2</v>
      </c>
    </row>
    <row r="104" spans="1:5" x14ac:dyDescent="0.25">
      <c r="A104" s="290" t="s">
        <v>31</v>
      </c>
      <c r="B104" s="294">
        <f t="shared" si="13"/>
        <v>2.9948184171282047E-2</v>
      </c>
      <c r="C104" s="294">
        <f t="shared" si="13"/>
        <v>2.1693286928311083E-2</v>
      </c>
      <c r="D104" s="294">
        <f t="shared" si="13"/>
        <v>1.8254379420590619E-2</v>
      </c>
      <c r="E104" s="294">
        <f t="shared" si="13"/>
        <v>2.6722871185564243E-2</v>
      </c>
    </row>
    <row r="105" spans="1:5" x14ac:dyDescent="0.25">
      <c r="A105" s="290" t="s">
        <v>32</v>
      </c>
      <c r="B105" s="294">
        <f t="shared" si="13"/>
        <v>9.6728386008953626E-3</v>
      </c>
      <c r="C105" s="294">
        <f t="shared" si="13"/>
        <v>6.5814293818017124E-3</v>
      </c>
      <c r="D105" s="294">
        <f t="shared" si="13"/>
        <v>0</v>
      </c>
      <c r="E105" s="294">
        <f t="shared" si="13"/>
        <v>0</v>
      </c>
    </row>
    <row r="106" spans="1:5" x14ac:dyDescent="0.25">
      <c r="A106" s="292" t="s">
        <v>33</v>
      </c>
      <c r="B106" s="295">
        <f t="shared" ref="B106:E118" si="14">+B68/B$48</f>
        <v>0.42700188288958285</v>
      </c>
      <c r="C106" s="295">
        <f t="shared" si="14"/>
        <v>0.35094398139356614</v>
      </c>
      <c r="D106" s="295">
        <f t="shared" si="14"/>
        <v>0.28432802949780761</v>
      </c>
      <c r="E106" s="295">
        <f t="shared" si="14"/>
        <v>0.43538617966445359</v>
      </c>
    </row>
    <row r="107" spans="1:5" x14ac:dyDescent="0.25">
      <c r="A107" s="290" t="s">
        <v>34</v>
      </c>
      <c r="B107" s="294">
        <f t="shared" si="14"/>
        <v>8.6228392188518188E-2</v>
      </c>
      <c r="C107" s="294">
        <f t="shared" si="14"/>
        <v>8.9545560140888047E-2</v>
      </c>
      <c r="D107" s="294">
        <f t="shared" si="14"/>
        <v>0.12513466287457825</v>
      </c>
      <c r="E107" s="294">
        <f t="shared" si="14"/>
        <v>0.23706820977199949</v>
      </c>
    </row>
    <row r="108" spans="1:5" x14ac:dyDescent="0.25">
      <c r="A108" s="290" t="s">
        <v>35</v>
      </c>
      <c r="B108" s="294">
        <f t="shared" si="14"/>
        <v>4.4967504338896014E-2</v>
      </c>
      <c r="C108" s="294">
        <f t="shared" si="14"/>
        <v>1.1207509822508961E-2</v>
      </c>
      <c r="D108" s="294">
        <f t="shared" si="14"/>
        <v>2.7474575612110249E-2</v>
      </c>
      <c r="E108" s="294">
        <f t="shared" si="14"/>
        <v>1.0660910146097239E-2</v>
      </c>
    </row>
    <row r="109" spans="1:5" ht="31.5" x14ac:dyDescent="0.25">
      <c r="A109" s="290" t="s">
        <v>36</v>
      </c>
      <c r="B109" s="294">
        <f t="shared" si="14"/>
        <v>5.2265160036550227E-4</v>
      </c>
      <c r="C109" s="294">
        <f t="shared" si="14"/>
        <v>3.9751206289964961E-4</v>
      </c>
      <c r="D109" s="294">
        <f t="shared" si="14"/>
        <v>0</v>
      </c>
      <c r="E109" s="294">
        <f t="shared" si="14"/>
        <v>0</v>
      </c>
    </row>
    <row r="110" spans="1:5" ht="31.5" x14ac:dyDescent="0.25">
      <c r="A110" s="290" t="s">
        <v>37</v>
      </c>
      <c r="B110" s="294">
        <f t="shared" si="14"/>
        <v>1.9498504523793761E-3</v>
      </c>
      <c r="C110" s="294">
        <f t="shared" si="14"/>
        <v>1.3821001701783597E-3</v>
      </c>
      <c r="D110" s="294">
        <f t="shared" si="14"/>
        <v>0</v>
      </c>
      <c r="E110" s="294">
        <f t="shared" si="14"/>
        <v>0</v>
      </c>
    </row>
    <row r="111" spans="1:5" x14ac:dyDescent="0.25">
      <c r="A111" s="290" t="s">
        <v>38</v>
      </c>
      <c r="B111" s="294">
        <f t="shared" si="14"/>
        <v>6.044650066078177E-2</v>
      </c>
      <c r="C111" s="294">
        <f t="shared" si="14"/>
        <v>3.9098413948036224E-2</v>
      </c>
      <c r="D111" s="294">
        <f t="shared" si="14"/>
        <v>3.0197691185377868E-2</v>
      </c>
      <c r="E111" s="294">
        <f t="shared" si="14"/>
        <v>4.7663957981708097E-2</v>
      </c>
    </row>
    <row r="112" spans="1:5" x14ac:dyDescent="0.25">
      <c r="A112" s="290" t="s">
        <v>39</v>
      </c>
      <c r="B112" s="294">
        <f t="shared" si="14"/>
        <v>5.5814345104495001E-3</v>
      </c>
      <c r="C112" s="294">
        <f t="shared" si="14"/>
        <v>7.7655280917964756E-3</v>
      </c>
      <c r="D112" s="294">
        <f t="shared" si="14"/>
        <v>6.7468509253399518E-3</v>
      </c>
      <c r="E112" s="294">
        <f t="shared" si="14"/>
        <v>2.8180670886731474E-2</v>
      </c>
    </row>
    <row r="113" spans="1:5" x14ac:dyDescent="0.25">
      <c r="A113" s="292" t="s">
        <v>40</v>
      </c>
      <c r="B113" s="295">
        <f t="shared" si="14"/>
        <v>0.34924385366048705</v>
      </c>
      <c r="C113" s="295">
        <f t="shared" si="14"/>
        <v>0.28053920917913011</v>
      </c>
      <c r="D113" s="295">
        <f t="shared" si="14"/>
        <v>0.15516963127115704</v>
      </c>
      <c r="E113" s="295">
        <f t="shared" si="14"/>
        <v>0.20714034684133348</v>
      </c>
    </row>
    <row r="114" spans="1:5" x14ac:dyDescent="0.25">
      <c r="A114" s="290" t="s">
        <v>41</v>
      </c>
      <c r="B114" s="294">
        <f t="shared" si="14"/>
        <v>7.6927938896235393E-2</v>
      </c>
      <c r="C114" s="294">
        <f t="shared" si="14"/>
        <v>4.2267848457237883E-2</v>
      </c>
      <c r="D114" s="294">
        <f t="shared" si="14"/>
        <v>1.3894395646368235E-2</v>
      </c>
      <c r="E114" s="294">
        <f t="shared" si="14"/>
        <v>1.3641590651941312E-2</v>
      </c>
    </row>
    <row r="115" spans="1:5" ht="31.5" x14ac:dyDescent="0.25">
      <c r="A115" s="290" t="s">
        <v>42</v>
      </c>
      <c r="B115" s="294">
        <f t="shared" si="14"/>
        <v>0</v>
      </c>
      <c r="C115" s="294">
        <f t="shared" si="14"/>
        <v>0</v>
      </c>
      <c r="D115" s="294">
        <f t="shared" si="14"/>
        <v>0</v>
      </c>
      <c r="E115" s="294">
        <f t="shared" si="14"/>
        <v>0</v>
      </c>
    </row>
    <row r="116" spans="1:5" x14ac:dyDescent="0.25">
      <c r="A116" s="292" t="s">
        <v>43</v>
      </c>
      <c r="B116" s="295">
        <f t="shared" si="14"/>
        <v>0.27231590037644127</v>
      </c>
      <c r="C116" s="295">
        <f t="shared" si="14"/>
        <v>0.23827136072189226</v>
      </c>
      <c r="D116" s="295">
        <f t="shared" si="14"/>
        <v>0.1412752514415451</v>
      </c>
      <c r="E116" s="295">
        <f t="shared" si="14"/>
        <v>0.14700373736134062</v>
      </c>
    </row>
    <row r="117" spans="1:5" ht="31.5" x14ac:dyDescent="0.25">
      <c r="A117" s="290" t="s">
        <v>44</v>
      </c>
      <c r="B117" s="294">
        <f t="shared" si="14"/>
        <v>2.6481987993688762E-2</v>
      </c>
      <c r="C117" s="294">
        <f t="shared" si="14"/>
        <v>5.879776100478004E-8</v>
      </c>
      <c r="D117" s="294">
        <f t="shared" si="14"/>
        <v>3.6659840497344619E-3</v>
      </c>
      <c r="E117" s="294">
        <f t="shared" si="14"/>
        <v>-3.7363934732683065E-4</v>
      </c>
    </row>
    <row r="118" spans="1:5" x14ac:dyDescent="0.25">
      <c r="A118" s="292" t="s">
        <v>45</v>
      </c>
      <c r="B118" s="295">
        <f t="shared" si="14"/>
        <v>0.29879788837013005</v>
      </c>
      <c r="C118" s="295">
        <f t="shared" si="14"/>
        <v>0.23827141951965325</v>
      </c>
      <c r="D118" s="295">
        <f t="shared" si="14"/>
        <v>0.14494122758290143</v>
      </c>
      <c r="E118" s="295">
        <f t="shared" si="14"/>
        <v>0.14663012992172922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2"/>
  <sheetViews>
    <sheetView showGridLines="0" workbookViewId="0">
      <selection activeCell="E12" sqref="E12"/>
    </sheetView>
  </sheetViews>
  <sheetFormatPr baseColWidth="10" defaultColWidth="11.42578125" defaultRowHeight="15" x14ac:dyDescent="0.25"/>
  <cols>
    <col min="1" max="1" width="11.42578125" style="202"/>
    <col min="2" max="2" width="16.42578125" style="202" customWidth="1"/>
    <col min="3" max="3" width="11" style="202" customWidth="1"/>
    <col min="4" max="8" width="11.5703125" style="202" bestFit="1" customWidth="1"/>
    <col min="9" max="9" width="7.28515625" style="202" customWidth="1"/>
    <col min="10" max="10" width="11.42578125" style="202"/>
    <col min="11" max="11" width="29.7109375" style="202" customWidth="1"/>
    <col min="12" max="12" width="12.140625" style="202" bestFit="1" customWidth="1"/>
    <col min="13" max="14" width="11.5703125" style="202" bestFit="1" customWidth="1"/>
    <col min="15" max="15" width="12" style="202" bestFit="1" customWidth="1"/>
    <col min="16" max="16" width="13.28515625" style="202" bestFit="1" customWidth="1"/>
    <col min="17" max="17" width="11.5703125" style="202" bestFit="1" customWidth="1"/>
    <col min="18" max="257" width="11.42578125" style="202"/>
    <col min="258" max="258" width="16.42578125" style="202" customWidth="1"/>
    <col min="259" max="259" width="11" style="202" customWidth="1"/>
    <col min="260" max="264" width="11.42578125" style="202"/>
    <col min="265" max="265" width="7.28515625" style="202" customWidth="1"/>
    <col min="266" max="266" width="11.42578125" style="202"/>
    <col min="267" max="267" width="29.7109375" style="202" customWidth="1"/>
    <col min="268" max="268" width="12" style="202" bestFit="1" customWidth="1"/>
    <col min="269" max="271" width="11.42578125" style="202"/>
    <col min="272" max="272" width="12" style="202" bestFit="1" customWidth="1"/>
    <col min="273" max="513" width="11.42578125" style="202"/>
    <col min="514" max="514" width="16.42578125" style="202" customWidth="1"/>
    <col min="515" max="515" width="11" style="202" customWidth="1"/>
    <col min="516" max="520" width="11.42578125" style="202"/>
    <col min="521" max="521" width="7.28515625" style="202" customWidth="1"/>
    <col min="522" max="522" width="11.42578125" style="202"/>
    <col min="523" max="523" width="29.7109375" style="202" customWidth="1"/>
    <col min="524" max="524" width="12" style="202" bestFit="1" customWidth="1"/>
    <col min="525" max="527" width="11.42578125" style="202"/>
    <col min="528" max="528" width="12" style="202" bestFit="1" customWidth="1"/>
    <col min="529" max="769" width="11.42578125" style="202"/>
    <col min="770" max="770" width="16.42578125" style="202" customWidth="1"/>
    <col min="771" max="771" width="11" style="202" customWidth="1"/>
    <col min="772" max="776" width="11.42578125" style="202"/>
    <col min="777" max="777" width="7.28515625" style="202" customWidth="1"/>
    <col min="778" max="778" width="11.42578125" style="202"/>
    <col min="779" max="779" width="29.7109375" style="202" customWidth="1"/>
    <col min="780" max="780" width="12" style="202" bestFit="1" customWidth="1"/>
    <col min="781" max="783" width="11.42578125" style="202"/>
    <col min="784" max="784" width="12" style="202" bestFit="1" customWidth="1"/>
    <col min="785" max="1025" width="11.42578125" style="202"/>
    <col min="1026" max="1026" width="16.42578125" style="202" customWidth="1"/>
    <col min="1027" max="1027" width="11" style="202" customWidth="1"/>
    <col min="1028" max="1032" width="11.42578125" style="202"/>
    <col min="1033" max="1033" width="7.28515625" style="202" customWidth="1"/>
    <col min="1034" max="1034" width="11.42578125" style="202"/>
    <col min="1035" max="1035" width="29.7109375" style="202" customWidth="1"/>
    <col min="1036" max="1036" width="12" style="202" bestFit="1" customWidth="1"/>
    <col min="1037" max="1039" width="11.42578125" style="202"/>
    <col min="1040" max="1040" width="12" style="202" bestFit="1" customWidth="1"/>
    <col min="1041" max="1281" width="11.42578125" style="202"/>
    <col min="1282" max="1282" width="16.42578125" style="202" customWidth="1"/>
    <col min="1283" max="1283" width="11" style="202" customWidth="1"/>
    <col min="1284" max="1288" width="11.42578125" style="202"/>
    <col min="1289" max="1289" width="7.28515625" style="202" customWidth="1"/>
    <col min="1290" max="1290" width="11.42578125" style="202"/>
    <col min="1291" max="1291" width="29.7109375" style="202" customWidth="1"/>
    <col min="1292" max="1292" width="12" style="202" bestFit="1" customWidth="1"/>
    <col min="1293" max="1295" width="11.42578125" style="202"/>
    <col min="1296" max="1296" width="12" style="202" bestFit="1" customWidth="1"/>
    <col min="1297" max="1537" width="11.42578125" style="202"/>
    <col min="1538" max="1538" width="16.42578125" style="202" customWidth="1"/>
    <col min="1539" max="1539" width="11" style="202" customWidth="1"/>
    <col min="1540" max="1544" width="11.42578125" style="202"/>
    <col min="1545" max="1545" width="7.28515625" style="202" customWidth="1"/>
    <col min="1546" max="1546" width="11.42578125" style="202"/>
    <col min="1547" max="1547" width="29.7109375" style="202" customWidth="1"/>
    <col min="1548" max="1548" width="12" style="202" bestFit="1" customWidth="1"/>
    <col min="1549" max="1551" width="11.42578125" style="202"/>
    <col min="1552" max="1552" width="12" style="202" bestFit="1" customWidth="1"/>
    <col min="1553" max="1793" width="11.42578125" style="202"/>
    <col min="1794" max="1794" width="16.42578125" style="202" customWidth="1"/>
    <col min="1795" max="1795" width="11" style="202" customWidth="1"/>
    <col min="1796" max="1800" width="11.42578125" style="202"/>
    <col min="1801" max="1801" width="7.28515625" style="202" customWidth="1"/>
    <col min="1802" max="1802" width="11.42578125" style="202"/>
    <col min="1803" max="1803" width="29.7109375" style="202" customWidth="1"/>
    <col min="1804" max="1804" width="12" style="202" bestFit="1" customWidth="1"/>
    <col min="1805" max="1807" width="11.42578125" style="202"/>
    <col min="1808" max="1808" width="12" style="202" bestFit="1" customWidth="1"/>
    <col min="1809" max="2049" width="11.42578125" style="202"/>
    <col min="2050" max="2050" width="16.42578125" style="202" customWidth="1"/>
    <col min="2051" max="2051" width="11" style="202" customWidth="1"/>
    <col min="2052" max="2056" width="11.42578125" style="202"/>
    <col min="2057" max="2057" width="7.28515625" style="202" customWidth="1"/>
    <col min="2058" max="2058" width="11.42578125" style="202"/>
    <col min="2059" max="2059" width="29.7109375" style="202" customWidth="1"/>
    <col min="2060" max="2060" width="12" style="202" bestFit="1" customWidth="1"/>
    <col min="2061" max="2063" width="11.42578125" style="202"/>
    <col min="2064" max="2064" width="12" style="202" bestFit="1" customWidth="1"/>
    <col min="2065" max="2305" width="11.42578125" style="202"/>
    <col min="2306" max="2306" width="16.42578125" style="202" customWidth="1"/>
    <col min="2307" max="2307" width="11" style="202" customWidth="1"/>
    <col min="2308" max="2312" width="11.42578125" style="202"/>
    <col min="2313" max="2313" width="7.28515625" style="202" customWidth="1"/>
    <col min="2314" max="2314" width="11.42578125" style="202"/>
    <col min="2315" max="2315" width="29.7109375" style="202" customWidth="1"/>
    <col min="2316" max="2316" width="12" style="202" bestFit="1" customWidth="1"/>
    <col min="2317" max="2319" width="11.42578125" style="202"/>
    <col min="2320" max="2320" width="12" style="202" bestFit="1" customWidth="1"/>
    <col min="2321" max="2561" width="11.42578125" style="202"/>
    <col min="2562" max="2562" width="16.42578125" style="202" customWidth="1"/>
    <col min="2563" max="2563" width="11" style="202" customWidth="1"/>
    <col min="2564" max="2568" width="11.42578125" style="202"/>
    <col min="2569" max="2569" width="7.28515625" style="202" customWidth="1"/>
    <col min="2570" max="2570" width="11.42578125" style="202"/>
    <col min="2571" max="2571" width="29.7109375" style="202" customWidth="1"/>
    <col min="2572" max="2572" width="12" style="202" bestFit="1" customWidth="1"/>
    <col min="2573" max="2575" width="11.42578125" style="202"/>
    <col min="2576" max="2576" width="12" style="202" bestFit="1" customWidth="1"/>
    <col min="2577" max="2817" width="11.42578125" style="202"/>
    <col min="2818" max="2818" width="16.42578125" style="202" customWidth="1"/>
    <col min="2819" max="2819" width="11" style="202" customWidth="1"/>
    <col min="2820" max="2824" width="11.42578125" style="202"/>
    <col min="2825" max="2825" width="7.28515625" style="202" customWidth="1"/>
    <col min="2826" max="2826" width="11.42578125" style="202"/>
    <col min="2827" max="2827" width="29.7109375" style="202" customWidth="1"/>
    <col min="2828" max="2828" width="12" style="202" bestFit="1" customWidth="1"/>
    <col min="2829" max="2831" width="11.42578125" style="202"/>
    <col min="2832" max="2832" width="12" style="202" bestFit="1" customWidth="1"/>
    <col min="2833" max="3073" width="11.42578125" style="202"/>
    <col min="3074" max="3074" width="16.42578125" style="202" customWidth="1"/>
    <col min="3075" max="3075" width="11" style="202" customWidth="1"/>
    <col min="3076" max="3080" width="11.42578125" style="202"/>
    <col min="3081" max="3081" width="7.28515625" style="202" customWidth="1"/>
    <col min="3082" max="3082" width="11.42578125" style="202"/>
    <col min="3083" max="3083" width="29.7109375" style="202" customWidth="1"/>
    <col min="3084" max="3084" width="12" style="202" bestFit="1" customWidth="1"/>
    <col min="3085" max="3087" width="11.42578125" style="202"/>
    <col min="3088" max="3088" width="12" style="202" bestFit="1" customWidth="1"/>
    <col min="3089" max="3329" width="11.42578125" style="202"/>
    <col min="3330" max="3330" width="16.42578125" style="202" customWidth="1"/>
    <col min="3331" max="3331" width="11" style="202" customWidth="1"/>
    <col min="3332" max="3336" width="11.42578125" style="202"/>
    <col min="3337" max="3337" width="7.28515625" style="202" customWidth="1"/>
    <col min="3338" max="3338" width="11.42578125" style="202"/>
    <col min="3339" max="3339" width="29.7109375" style="202" customWidth="1"/>
    <col min="3340" max="3340" width="12" style="202" bestFit="1" customWidth="1"/>
    <col min="3341" max="3343" width="11.42578125" style="202"/>
    <col min="3344" max="3344" width="12" style="202" bestFit="1" customWidth="1"/>
    <col min="3345" max="3585" width="11.42578125" style="202"/>
    <col min="3586" max="3586" width="16.42578125" style="202" customWidth="1"/>
    <col min="3587" max="3587" width="11" style="202" customWidth="1"/>
    <col min="3588" max="3592" width="11.42578125" style="202"/>
    <col min="3593" max="3593" width="7.28515625" style="202" customWidth="1"/>
    <col min="3594" max="3594" width="11.42578125" style="202"/>
    <col min="3595" max="3595" width="29.7109375" style="202" customWidth="1"/>
    <col min="3596" max="3596" width="12" style="202" bestFit="1" customWidth="1"/>
    <col min="3597" max="3599" width="11.42578125" style="202"/>
    <col min="3600" max="3600" width="12" style="202" bestFit="1" customWidth="1"/>
    <col min="3601" max="3841" width="11.42578125" style="202"/>
    <col min="3842" max="3842" width="16.42578125" style="202" customWidth="1"/>
    <col min="3843" max="3843" width="11" style="202" customWidth="1"/>
    <col min="3844" max="3848" width="11.42578125" style="202"/>
    <col min="3849" max="3849" width="7.28515625" style="202" customWidth="1"/>
    <col min="3850" max="3850" width="11.42578125" style="202"/>
    <col min="3851" max="3851" width="29.7109375" style="202" customWidth="1"/>
    <col min="3852" max="3852" width="12" style="202" bestFit="1" customWidth="1"/>
    <col min="3853" max="3855" width="11.42578125" style="202"/>
    <col min="3856" max="3856" width="12" style="202" bestFit="1" customWidth="1"/>
    <col min="3857" max="4097" width="11.42578125" style="202"/>
    <col min="4098" max="4098" width="16.42578125" style="202" customWidth="1"/>
    <col min="4099" max="4099" width="11" style="202" customWidth="1"/>
    <col min="4100" max="4104" width="11.42578125" style="202"/>
    <col min="4105" max="4105" width="7.28515625" style="202" customWidth="1"/>
    <col min="4106" max="4106" width="11.42578125" style="202"/>
    <col min="4107" max="4107" width="29.7109375" style="202" customWidth="1"/>
    <col min="4108" max="4108" width="12" style="202" bestFit="1" customWidth="1"/>
    <col min="4109" max="4111" width="11.42578125" style="202"/>
    <col min="4112" max="4112" width="12" style="202" bestFit="1" customWidth="1"/>
    <col min="4113" max="4353" width="11.42578125" style="202"/>
    <col min="4354" max="4354" width="16.42578125" style="202" customWidth="1"/>
    <col min="4355" max="4355" width="11" style="202" customWidth="1"/>
    <col min="4356" max="4360" width="11.42578125" style="202"/>
    <col min="4361" max="4361" width="7.28515625" style="202" customWidth="1"/>
    <col min="4362" max="4362" width="11.42578125" style="202"/>
    <col min="4363" max="4363" width="29.7109375" style="202" customWidth="1"/>
    <col min="4364" max="4364" width="12" style="202" bestFit="1" customWidth="1"/>
    <col min="4365" max="4367" width="11.42578125" style="202"/>
    <col min="4368" max="4368" width="12" style="202" bestFit="1" customWidth="1"/>
    <col min="4369" max="4609" width="11.42578125" style="202"/>
    <col min="4610" max="4610" width="16.42578125" style="202" customWidth="1"/>
    <col min="4611" max="4611" width="11" style="202" customWidth="1"/>
    <col min="4612" max="4616" width="11.42578125" style="202"/>
    <col min="4617" max="4617" width="7.28515625" style="202" customWidth="1"/>
    <col min="4618" max="4618" width="11.42578125" style="202"/>
    <col min="4619" max="4619" width="29.7109375" style="202" customWidth="1"/>
    <col min="4620" max="4620" width="12" style="202" bestFit="1" customWidth="1"/>
    <col min="4621" max="4623" width="11.42578125" style="202"/>
    <col min="4624" max="4624" width="12" style="202" bestFit="1" customWidth="1"/>
    <col min="4625" max="4865" width="11.42578125" style="202"/>
    <col min="4866" max="4866" width="16.42578125" style="202" customWidth="1"/>
    <col min="4867" max="4867" width="11" style="202" customWidth="1"/>
    <col min="4868" max="4872" width="11.42578125" style="202"/>
    <col min="4873" max="4873" width="7.28515625" style="202" customWidth="1"/>
    <col min="4874" max="4874" width="11.42578125" style="202"/>
    <col min="4875" max="4875" width="29.7109375" style="202" customWidth="1"/>
    <col min="4876" max="4876" width="12" style="202" bestFit="1" customWidth="1"/>
    <col min="4877" max="4879" width="11.42578125" style="202"/>
    <col min="4880" max="4880" width="12" style="202" bestFit="1" customWidth="1"/>
    <col min="4881" max="5121" width="11.42578125" style="202"/>
    <col min="5122" max="5122" width="16.42578125" style="202" customWidth="1"/>
    <col min="5123" max="5123" width="11" style="202" customWidth="1"/>
    <col min="5124" max="5128" width="11.42578125" style="202"/>
    <col min="5129" max="5129" width="7.28515625" style="202" customWidth="1"/>
    <col min="5130" max="5130" width="11.42578125" style="202"/>
    <col min="5131" max="5131" width="29.7109375" style="202" customWidth="1"/>
    <col min="5132" max="5132" width="12" style="202" bestFit="1" customWidth="1"/>
    <col min="5133" max="5135" width="11.42578125" style="202"/>
    <col min="5136" max="5136" width="12" style="202" bestFit="1" customWidth="1"/>
    <col min="5137" max="5377" width="11.42578125" style="202"/>
    <col min="5378" max="5378" width="16.42578125" style="202" customWidth="1"/>
    <col min="5379" max="5379" width="11" style="202" customWidth="1"/>
    <col min="5380" max="5384" width="11.42578125" style="202"/>
    <col min="5385" max="5385" width="7.28515625" style="202" customWidth="1"/>
    <col min="5386" max="5386" width="11.42578125" style="202"/>
    <col min="5387" max="5387" width="29.7109375" style="202" customWidth="1"/>
    <col min="5388" max="5388" width="12" style="202" bestFit="1" customWidth="1"/>
    <col min="5389" max="5391" width="11.42578125" style="202"/>
    <col min="5392" max="5392" width="12" style="202" bestFit="1" customWidth="1"/>
    <col min="5393" max="5633" width="11.42578125" style="202"/>
    <col min="5634" max="5634" width="16.42578125" style="202" customWidth="1"/>
    <col min="5635" max="5635" width="11" style="202" customWidth="1"/>
    <col min="5636" max="5640" width="11.42578125" style="202"/>
    <col min="5641" max="5641" width="7.28515625" style="202" customWidth="1"/>
    <col min="5642" max="5642" width="11.42578125" style="202"/>
    <col min="5643" max="5643" width="29.7109375" style="202" customWidth="1"/>
    <col min="5644" max="5644" width="12" style="202" bestFit="1" customWidth="1"/>
    <col min="5645" max="5647" width="11.42578125" style="202"/>
    <col min="5648" max="5648" width="12" style="202" bestFit="1" customWidth="1"/>
    <col min="5649" max="5889" width="11.42578125" style="202"/>
    <col min="5890" max="5890" width="16.42578125" style="202" customWidth="1"/>
    <col min="5891" max="5891" width="11" style="202" customWidth="1"/>
    <col min="5892" max="5896" width="11.42578125" style="202"/>
    <col min="5897" max="5897" width="7.28515625" style="202" customWidth="1"/>
    <col min="5898" max="5898" width="11.42578125" style="202"/>
    <col min="5899" max="5899" width="29.7109375" style="202" customWidth="1"/>
    <col min="5900" max="5900" width="12" style="202" bestFit="1" customWidth="1"/>
    <col min="5901" max="5903" width="11.42578125" style="202"/>
    <col min="5904" max="5904" width="12" style="202" bestFit="1" customWidth="1"/>
    <col min="5905" max="6145" width="11.42578125" style="202"/>
    <col min="6146" max="6146" width="16.42578125" style="202" customWidth="1"/>
    <col min="6147" max="6147" width="11" style="202" customWidth="1"/>
    <col min="6148" max="6152" width="11.42578125" style="202"/>
    <col min="6153" max="6153" width="7.28515625" style="202" customWidth="1"/>
    <col min="6154" max="6154" width="11.42578125" style="202"/>
    <col min="6155" max="6155" width="29.7109375" style="202" customWidth="1"/>
    <col min="6156" max="6156" width="12" style="202" bestFit="1" customWidth="1"/>
    <col min="6157" max="6159" width="11.42578125" style="202"/>
    <col min="6160" max="6160" width="12" style="202" bestFit="1" customWidth="1"/>
    <col min="6161" max="6401" width="11.42578125" style="202"/>
    <col min="6402" max="6402" width="16.42578125" style="202" customWidth="1"/>
    <col min="6403" max="6403" width="11" style="202" customWidth="1"/>
    <col min="6404" max="6408" width="11.42578125" style="202"/>
    <col min="6409" max="6409" width="7.28515625" style="202" customWidth="1"/>
    <col min="6410" max="6410" width="11.42578125" style="202"/>
    <col min="6411" max="6411" width="29.7109375" style="202" customWidth="1"/>
    <col min="6412" max="6412" width="12" style="202" bestFit="1" customWidth="1"/>
    <col min="6413" max="6415" width="11.42578125" style="202"/>
    <col min="6416" max="6416" width="12" style="202" bestFit="1" customWidth="1"/>
    <col min="6417" max="6657" width="11.42578125" style="202"/>
    <col min="6658" max="6658" width="16.42578125" style="202" customWidth="1"/>
    <col min="6659" max="6659" width="11" style="202" customWidth="1"/>
    <col min="6660" max="6664" width="11.42578125" style="202"/>
    <col min="6665" max="6665" width="7.28515625" style="202" customWidth="1"/>
    <col min="6666" max="6666" width="11.42578125" style="202"/>
    <col min="6667" max="6667" width="29.7109375" style="202" customWidth="1"/>
    <col min="6668" max="6668" width="12" style="202" bestFit="1" customWidth="1"/>
    <col min="6669" max="6671" width="11.42578125" style="202"/>
    <col min="6672" max="6672" width="12" style="202" bestFit="1" customWidth="1"/>
    <col min="6673" max="6913" width="11.42578125" style="202"/>
    <col min="6914" max="6914" width="16.42578125" style="202" customWidth="1"/>
    <col min="6915" max="6915" width="11" style="202" customWidth="1"/>
    <col min="6916" max="6920" width="11.42578125" style="202"/>
    <col min="6921" max="6921" width="7.28515625" style="202" customWidth="1"/>
    <col min="6922" max="6922" width="11.42578125" style="202"/>
    <col min="6923" max="6923" width="29.7109375" style="202" customWidth="1"/>
    <col min="6924" max="6924" width="12" style="202" bestFit="1" customWidth="1"/>
    <col min="6925" max="6927" width="11.42578125" style="202"/>
    <col min="6928" max="6928" width="12" style="202" bestFit="1" customWidth="1"/>
    <col min="6929" max="7169" width="11.42578125" style="202"/>
    <col min="7170" max="7170" width="16.42578125" style="202" customWidth="1"/>
    <col min="7171" max="7171" width="11" style="202" customWidth="1"/>
    <col min="7172" max="7176" width="11.42578125" style="202"/>
    <col min="7177" max="7177" width="7.28515625" style="202" customWidth="1"/>
    <col min="7178" max="7178" width="11.42578125" style="202"/>
    <col min="7179" max="7179" width="29.7109375" style="202" customWidth="1"/>
    <col min="7180" max="7180" width="12" style="202" bestFit="1" customWidth="1"/>
    <col min="7181" max="7183" width="11.42578125" style="202"/>
    <col min="7184" max="7184" width="12" style="202" bestFit="1" customWidth="1"/>
    <col min="7185" max="7425" width="11.42578125" style="202"/>
    <col min="7426" max="7426" width="16.42578125" style="202" customWidth="1"/>
    <col min="7427" max="7427" width="11" style="202" customWidth="1"/>
    <col min="7428" max="7432" width="11.42578125" style="202"/>
    <col min="7433" max="7433" width="7.28515625" style="202" customWidth="1"/>
    <col min="7434" max="7434" width="11.42578125" style="202"/>
    <col min="7435" max="7435" width="29.7109375" style="202" customWidth="1"/>
    <col min="7436" max="7436" width="12" style="202" bestFit="1" customWidth="1"/>
    <col min="7437" max="7439" width="11.42578125" style="202"/>
    <col min="7440" max="7440" width="12" style="202" bestFit="1" customWidth="1"/>
    <col min="7441" max="7681" width="11.42578125" style="202"/>
    <col min="7682" max="7682" width="16.42578125" style="202" customWidth="1"/>
    <col min="7683" max="7683" width="11" style="202" customWidth="1"/>
    <col min="7684" max="7688" width="11.42578125" style="202"/>
    <col min="7689" max="7689" width="7.28515625" style="202" customWidth="1"/>
    <col min="7690" max="7690" width="11.42578125" style="202"/>
    <col min="7691" max="7691" width="29.7109375" style="202" customWidth="1"/>
    <col min="7692" max="7692" width="12" style="202" bestFit="1" customWidth="1"/>
    <col min="7693" max="7695" width="11.42578125" style="202"/>
    <col min="7696" max="7696" width="12" style="202" bestFit="1" customWidth="1"/>
    <col min="7697" max="7937" width="11.42578125" style="202"/>
    <col min="7938" max="7938" width="16.42578125" style="202" customWidth="1"/>
    <col min="7939" max="7939" width="11" style="202" customWidth="1"/>
    <col min="7940" max="7944" width="11.42578125" style="202"/>
    <col min="7945" max="7945" width="7.28515625" style="202" customWidth="1"/>
    <col min="7946" max="7946" width="11.42578125" style="202"/>
    <col min="7947" max="7947" width="29.7109375" style="202" customWidth="1"/>
    <col min="7948" max="7948" width="12" style="202" bestFit="1" customWidth="1"/>
    <col min="7949" max="7951" width="11.42578125" style="202"/>
    <col min="7952" max="7952" width="12" style="202" bestFit="1" customWidth="1"/>
    <col min="7953" max="8193" width="11.42578125" style="202"/>
    <col min="8194" max="8194" width="16.42578125" style="202" customWidth="1"/>
    <col min="8195" max="8195" width="11" style="202" customWidth="1"/>
    <col min="8196" max="8200" width="11.42578125" style="202"/>
    <col min="8201" max="8201" width="7.28515625" style="202" customWidth="1"/>
    <col min="8202" max="8202" width="11.42578125" style="202"/>
    <col min="8203" max="8203" width="29.7109375" style="202" customWidth="1"/>
    <col min="8204" max="8204" width="12" style="202" bestFit="1" customWidth="1"/>
    <col min="8205" max="8207" width="11.42578125" style="202"/>
    <col min="8208" max="8208" width="12" style="202" bestFit="1" customWidth="1"/>
    <col min="8209" max="8449" width="11.42578125" style="202"/>
    <col min="8450" max="8450" width="16.42578125" style="202" customWidth="1"/>
    <col min="8451" max="8451" width="11" style="202" customWidth="1"/>
    <col min="8452" max="8456" width="11.42578125" style="202"/>
    <col min="8457" max="8457" width="7.28515625" style="202" customWidth="1"/>
    <col min="8458" max="8458" width="11.42578125" style="202"/>
    <col min="8459" max="8459" width="29.7109375" style="202" customWidth="1"/>
    <col min="8460" max="8460" width="12" style="202" bestFit="1" customWidth="1"/>
    <col min="8461" max="8463" width="11.42578125" style="202"/>
    <col min="8464" max="8464" width="12" style="202" bestFit="1" customWidth="1"/>
    <col min="8465" max="8705" width="11.42578125" style="202"/>
    <col min="8706" max="8706" width="16.42578125" style="202" customWidth="1"/>
    <col min="8707" max="8707" width="11" style="202" customWidth="1"/>
    <col min="8708" max="8712" width="11.42578125" style="202"/>
    <col min="8713" max="8713" width="7.28515625" style="202" customWidth="1"/>
    <col min="8714" max="8714" width="11.42578125" style="202"/>
    <col min="8715" max="8715" width="29.7109375" style="202" customWidth="1"/>
    <col min="8716" max="8716" width="12" style="202" bestFit="1" customWidth="1"/>
    <col min="8717" max="8719" width="11.42578125" style="202"/>
    <col min="8720" max="8720" width="12" style="202" bestFit="1" customWidth="1"/>
    <col min="8721" max="8961" width="11.42578125" style="202"/>
    <col min="8962" max="8962" width="16.42578125" style="202" customWidth="1"/>
    <col min="8963" max="8963" width="11" style="202" customWidth="1"/>
    <col min="8964" max="8968" width="11.42578125" style="202"/>
    <col min="8969" max="8969" width="7.28515625" style="202" customWidth="1"/>
    <col min="8970" max="8970" width="11.42578125" style="202"/>
    <col min="8971" max="8971" width="29.7109375" style="202" customWidth="1"/>
    <col min="8972" max="8972" width="12" style="202" bestFit="1" customWidth="1"/>
    <col min="8973" max="8975" width="11.42578125" style="202"/>
    <col min="8976" max="8976" width="12" style="202" bestFit="1" customWidth="1"/>
    <col min="8977" max="9217" width="11.42578125" style="202"/>
    <col min="9218" max="9218" width="16.42578125" style="202" customWidth="1"/>
    <col min="9219" max="9219" width="11" style="202" customWidth="1"/>
    <col min="9220" max="9224" width="11.42578125" style="202"/>
    <col min="9225" max="9225" width="7.28515625" style="202" customWidth="1"/>
    <col min="9226" max="9226" width="11.42578125" style="202"/>
    <col min="9227" max="9227" width="29.7109375" style="202" customWidth="1"/>
    <col min="9228" max="9228" width="12" style="202" bestFit="1" customWidth="1"/>
    <col min="9229" max="9231" width="11.42578125" style="202"/>
    <col min="9232" max="9232" width="12" style="202" bestFit="1" customWidth="1"/>
    <col min="9233" max="9473" width="11.42578125" style="202"/>
    <col min="9474" max="9474" width="16.42578125" style="202" customWidth="1"/>
    <col min="9475" max="9475" width="11" style="202" customWidth="1"/>
    <col min="9476" max="9480" width="11.42578125" style="202"/>
    <col min="9481" max="9481" width="7.28515625" style="202" customWidth="1"/>
    <col min="9482" max="9482" width="11.42578125" style="202"/>
    <col min="9483" max="9483" width="29.7109375" style="202" customWidth="1"/>
    <col min="9484" max="9484" width="12" style="202" bestFit="1" customWidth="1"/>
    <col min="9485" max="9487" width="11.42578125" style="202"/>
    <col min="9488" max="9488" width="12" style="202" bestFit="1" customWidth="1"/>
    <col min="9489" max="9729" width="11.42578125" style="202"/>
    <col min="9730" max="9730" width="16.42578125" style="202" customWidth="1"/>
    <col min="9731" max="9731" width="11" style="202" customWidth="1"/>
    <col min="9732" max="9736" width="11.42578125" style="202"/>
    <col min="9737" max="9737" width="7.28515625" style="202" customWidth="1"/>
    <col min="9738" max="9738" width="11.42578125" style="202"/>
    <col min="9739" max="9739" width="29.7109375" style="202" customWidth="1"/>
    <col min="9740" max="9740" width="12" style="202" bestFit="1" customWidth="1"/>
    <col min="9741" max="9743" width="11.42578125" style="202"/>
    <col min="9744" max="9744" width="12" style="202" bestFit="1" customWidth="1"/>
    <col min="9745" max="9985" width="11.42578125" style="202"/>
    <col min="9986" max="9986" width="16.42578125" style="202" customWidth="1"/>
    <col min="9987" max="9987" width="11" style="202" customWidth="1"/>
    <col min="9988" max="9992" width="11.42578125" style="202"/>
    <col min="9993" max="9993" width="7.28515625" style="202" customWidth="1"/>
    <col min="9994" max="9994" width="11.42578125" style="202"/>
    <col min="9995" max="9995" width="29.7109375" style="202" customWidth="1"/>
    <col min="9996" max="9996" width="12" style="202" bestFit="1" customWidth="1"/>
    <col min="9997" max="9999" width="11.42578125" style="202"/>
    <col min="10000" max="10000" width="12" style="202" bestFit="1" customWidth="1"/>
    <col min="10001" max="10241" width="11.42578125" style="202"/>
    <col min="10242" max="10242" width="16.42578125" style="202" customWidth="1"/>
    <col min="10243" max="10243" width="11" style="202" customWidth="1"/>
    <col min="10244" max="10248" width="11.42578125" style="202"/>
    <col min="10249" max="10249" width="7.28515625" style="202" customWidth="1"/>
    <col min="10250" max="10250" width="11.42578125" style="202"/>
    <col min="10251" max="10251" width="29.7109375" style="202" customWidth="1"/>
    <col min="10252" max="10252" width="12" style="202" bestFit="1" customWidth="1"/>
    <col min="10253" max="10255" width="11.42578125" style="202"/>
    <col min="10256" max="10256" width="12" style="202" bestFit="1" customWidth="1"/>
    <col min="10257" max="10497" width="11.42578125" style="202"/>
    <col min="10498" max="10498" width="16.42578125" style="202" customWidth="1"/>
    <col min="10499" max="10499" width="11" style="202" customWidth="1"/>
    <col min="10500" max="10504" width="11.42578125" style="202"/>
    <col min="10505" max="10505" width="7.28515625" style="202" customWidth="1"/>
    <col min="10506" max="10506" width="11.42578125" style="202"/>
    <col min="10507" max="10507" width="29.7109375" style="202" customWidth="1"/>
    <col min="10508" max="10508" width="12" style="202" bestFit="1" customWidth="1"/>
    <col min="10509" max="10511" width="11.42578125" style="202"/>
    <col min="10512" max="10512" width="12" style="202" bestFit="1" customWidth="1"/>
    <col min="10513" max="10753" width="11.42578125" style="202"/>
    <col min="10754" max="10754" width="16.42578125" style="202" customWidth="1"/>
    <col min="10755" max="10755" width="11" style="202" customWidth="1"/>
    <col min="10756" max="10760" width="11.42578125" style="202"/>
    <col min="10761" max="10761" width="7.28515625" style="202" customWidth="1"/>
    <col min="10762" max="10762" width="11.42578125" style="202"/>
    <col min="10763" max="10763" width="29.7109375" style="202" customWidth="1"/>
    <col min="10764" max="10764" width="12" style="202" bestFit="1" customWidth="1"/>
    <col min="10765" max="10767" width="11.42578125" style="202"/>
    <col min="10768" max="10768" width="12" style="202" bestFit="1" customWidth="1"/>
    <col min="10769" max="11009" width="11.42578125" style="202"/>
    <col min="11010" max="11010" width="16.42578125" style="202" customWidth="1"/>
    <col min="11011" max="11011" width="11" style="202" customWidth="1"/>
    <col min="11012" max="11016" width="11.42578125" style="202"/>
    <col min="11017" max="11017" width="7.28515625" style="202" customWidth="1"/>
    <col min="11018" max="11018" width="11.42578125" style="202"/>
    <col min="11019" max="11019" width="29.7109375" style="202" customWidth="1"/>
    <col min="11020" max="11020" width="12" style="202" bestFit="1" customWidth="1"/>
    <col min="11021" max="11023" width="11.42578125" style="202"/>
    <col min="11024" max="11024" width="12" style="202" bestFit="1" customWidth="1"/>
    <col min="11025" max="11265" width="11.42578125" style="202"/>
    <col min="11266" max="11266" width="16.42578125" style="202" customWidth="1"/>
    <col min="11267" max="11267" width="11" style="202" customWidth="1"/>
    <col min="11268" max="11272" width="11.42578125" style="202"/>
    <col min="11273" max="11273" width="7.28515625" style="202" customWidth="1"/>
    <col min="11274" max="11274" width="11.42578125" style="202"/>
    <col min="11275" max="11275" width="29.7109375" style="202" customWidth="1"/>
    <col min="11276" max="11276" width="12" style="202" bestFit="1" customWidth="1"/>
    <col min="11277" max="11279" width="11.42578125" style="202"/>
    <col min="11280" max="11280" width="12" style="202" bestFit="1" customWidth="1"/>
    <col min="11281" max="11521" width="11.42578125" style="202"/>
    <col min="11522" max="11522" width="16.42578125" style="202" customWidth="1"/>
    <col min="11523" max="11523" width="11" style="202" customWidth="1"/>
    <col min="11524" max="11528" width="11.42578125" style="202"/>
    <col min="11529" max="11529" width="7.28515625" style="202" customWidth="1"/>
    <col min="11530" max="11530" width="11.42578125" style="202"/>
    <col min="11531" max="11531" width="29.7109375" style="202" customWidth="1"/>
    <col min="11532" max="11532" width="12" style="202" bestFit="1" customWidth="1"/>
    <col min="11533" max="11535" width="11.42578125" style="202"/>
    <col min="11536" max="11536" width="12" style="202" bestFit="1" customWidth="1"/>
    <col min="11537" max="11777" width="11.42578125" style="202"/>
    <col min="11778" max="11778" width="16.42578125" style="202" customWidth="1"/>
    <col min="11779" max="11779" width="11" style="202" customWidth="1"/>
    <col min="11780" max="11784" width="11.42578125" style="202"/>
    <col min="11785" max="11785" width="7.28515625" style="202" customWidth="1"/>
    <col min="11786" max="11786" width="11.42578125" style="202"/>
    <col min="11787" max="11787" width="29.7109375" style="202" customWidth="1"/>
    <col min="11788" max="11788" width="12" style="202" bestFit="1" customWidth="1"/>
    <col min="11789" max="11791" width="11.42578125" style="202"/>
    <col min="11792" max="11792" width="12" style="202" bestFit="1" customWidth="1"/>
    <col min="11793" max="12033" width="11.42578125" style="202"/>
    <col min="12034" max="12034" width="16.42578125" style="202" customWidth="1"/>
    <col min="12035" max="12035" width="11" style="202" customWidth="1"/>
    <col min="12036" max="12040" width="11.42578125" style="202"/>
    <col min="12041" max="12041" width="7.28515625" style="202" customWidth="1"/>
    <col min="12042" max="12042" width="11.42578125" style="202"/>
    <col min="12043" max="12043" width="29.7109375" style="202" customWidth="1"/>
    <col min="12044" max="12044" width="12" style="202" bestFit="1" customWidth="1"/>
    <col min="12045" max="12047" width="11.42578125" style="202"/>
    <col min="12048" max="12048" width="12" style="202" bestFit="1" customWidth="1"/>
    <col min="12049" max="12289" width="11.42578125" style="202"/>
    <col min="12290" max="12290" width="16.42578125" style="202" customWidth="1"/>
    <col min="12291" max="12291" width="11" style="202" customWidth="1"/>
    <col min="12292" max="12296" width="11.42578125" style="202"/>
    <col min="12297" max="12297" width="7.28515625" style="202" customWidth="1"/>
    <col min="12298" max="12298" width="11.42578125" style="202"/>
    <col min="12299" max="12299" width="29.7109375" style="202" customWidth="1"/>
    <col min="12300" max="12300" width="12" style="202" bestFit="1" customWidth="1"/>
    <col min="12301" max="12303" width="11.42578125" style="202"/>
    <col min="12304" max="12304" width="12" style="202" bestFit="1" customWidth="1"/>
    <col min="12305" max="12545" width="11.42578125" style="202"/>
    <col min="12546" max="12546" width="16.42578125" style="202" customWidth="1"/>
    <col min="12547" max="12547" width="11" style="202" customWidth="1"/>
    <col min="12548" max="12552" width="11.42578125" style="202"/>
    <col min="12553" max="12553" width="7.28515625" style="202" customWidth="1"/>
    <col min="12554" max="12554" width="11.42578125" style="202"/>
    <col min="12555" max="12555" width="29.7109375" style="202" customWidth="1"/>
    <col min="12556" max="12556" width="12" style="202" bestFit="1" customWidth="1"/>
    <col min="12557" max="12559" width="11.42578125" style="202"/>
    <col min="12560" max="12560" width="12" style="202" bestFit="1" customWidth="1"/>
    <col min="12561" max="12801" width="11.42578125" style="202"/>
    <col min="12802" max="12802" width="16.42578125" style="202" customWidth="1"/>
    <col min="12803" max="12803" width="11" style="202" customWidth="1"/>
    <col min="12804" max="12808" width="11.42578125" style="202"/>
    <col min="12809" max="12809" width="7.28515625" style="202" customWidth="1"/>
    <col min="12810" max="12810" width="11.42578125" style="202"/>
    <col min="12811" max="12811" width="29.7109375" style="202" customWidth="1"/>
    <col min="12812" max="12812" width="12" style="202" bestFit="1" customWidth="1"/>
    <col min="12813" max="12815" width="11.42578125" style="202"/>
    <col min="12816" max="12816" width="12" style="202" bestFit="1" customWidth="1"/>
    <col min="12817" max="13057" width="11.42578125" style="202"/>
    <col min="13058" max="13058" width="16.42578125" style="202" customWidth="1"/>
    <col min="13059" max="13059" width="11" style="202" customWidth="1"/>
    <col min="13060" max="13064" width="11.42578125" style="202"/>
    <col min="13065" max="13065" width="7.28515625" style="202" customWidth="1"/>
    <col min="13066" max="13066" width="11.42578125" style="202"/>
    <col min="13067" max="13067" width="29.7109375" style="202" customWidth="1"/>
    <col min="13068" max="13068" width="12" style="202" bestFit="1" customWidth="1"/>
    <col min="13069" max="13071" width="11.42578125" style="202"/>
    <col min="13072" max="13072" width="12" style="202" bestFit="1" customWidth="1"/>
    <col min="13073" max="13313" width="11.42578125" style="202"/>
    <col min="13314" max="13314" width="16.42578125" style="202" customWidth="1"/>
    <col min="13315" max="13315" width="11" style="202" customWidth="1"/>
    <col min="13316" max="13320" width="11.42578125" style="202"/>
    <col min="13321" max="13321" width="7.28515625" style="202" customWidth="1"/>
    <col min="13322" max="13322" width="11.42578125" style="202"/>
    <col min="13323" max="13323" width="29.7109375" style="202" customWidth="1"/>
    <col min="13324" max="13324" width="12" style="202" bestFit="1" customWidth="1"/>
    <col min="13325" max="13327" width="11.42578125" style="202"/>
    <col min="13328" max="13328" width="12" style="202" bestFit="1" customWidth="1"/>
    <col min="13329" max="13569" width="11.42578125" style="202"/>
    <col min="13570" max="13570" width="16.42578125" style="202" customWidth="1"/>
    <col min="13571" max="13571" width="11" style="202" customWidth="1"/>
    <col min="13572" max="13576" width="11.42578125" style="202"/>
    <col min="13577" max="13577" width="7.28515625" style="202" customWidth="1"/>
    <col min="13578" max="13578" width="11.42578125" style="202"/>
    <col min="13579" max="13579" width="29.7109375" style="202" customWidth="1"/>
    <col min="13580" max="13580" width="12" style="202" bestFit="1" customWidth="1"/>
    <col min="13581" max="13583" width="11.42578125" style="202"/>
    <col min="13584" max="13584" width="12" style="202" bestFit="1" customWidth="1"/>
    <col min="13585" max="13825" width="11.42578125" style="202"/>
    <col min="13826" max="13826" width="16.42578125" style="202" customWidth="1"/>
    <col min="13827" max="13827" width="11" style="202" customWidth="1"/>
    <col min="13828" max="13832" width="11.42578125" style="202"/>
    <col min="13833" max="13833" width="7.28515625" style="202" customWidth="1"/>
    <col min="13834" max="13834" width="11.42578125" style="202"/>
    <col min="13835" max="13835" width="29.7109375" style="202" customWidth="1"/>
    <col min="13836" max="13836" width="12" style="202" bestFit="1" customWidth="1"/>
    <col min="13837" max="13839" width="11.42578125" style="202"/>
    <col min="13840" max="13840" width="12" style="202" bestFit="1" customWidth="1"/>
    <col min="13841" max="14081" width="11.42578125" style="202"/>
    <col min="14082" max="14082" width="16.42578125" style="202" customWidth="1"/>
    <col min="14083" max="14083" width="11" style="202" customWidth="1"/>
    <col min="14084" max="14088" width="11.42578125" style="202"/>
    <col min="14089" max="14089" width="7.28515625" style="202" customWidth="1"/>
    <col min="14090" max="14090" width="11.42578125" style="202"/>
    <col min="14091" max="14091" width="29.7109375" style="202" customWidth="1"/>
    <col min="14092" max="14092" width="12" style="202" bestFit="1" customWidth="1"/>
    <col min="14093" max="14095" width="11.42578125" style="202"/>
    <col min="14096" max="14096" width="12" style="202" bestFit="1" customWidth="1"/>
    <col min="14097" max="14337" width="11.42578125" style="202"/>
    <col min="14338" max="14338" width="16.42578125" style="202" customWidth="1"/>
    <col min="14339" max="14339" width="11" style="202" customWidth="1"/>
    <col min="14340" max="14344" width="11.42578125" style="202"/>
    <col min="14345" max="14345" width="7.28515625" style="202" customWidth="1"/>
    <col min="14346" max="14346" width="11.42578125" style="202"/>
    <col min="14347" max="14347" width="29.7109375" style="202" customWidth="1"/>
    <col min="14348" max="14348" width="12" style="202" bestFit="1" customWidth="1"/>
    <col min="14349" max="14351" width="11.42578125" style="202"/>
    <col min="14352" max="14352" width="12" style="202" bestFit="1" customWidth="1"/>
    <col min="14353" max="14593" width="11.42578125" style="202"/>
    <col min="14594" max="14594" width="16.42578125" style="202" customWidth="1"/>
    <col min="14595" max="14595" width="11" style="202" customWidth="1"/>
    <col min="14596" max="14600" width="11.42578125" style="202"/>
    <col min="14601" max="14601" width="7.28515625" style="202" customWidth="1"/>
    <col min="14602" max="14602" width="11.42578125" style="202"/>
    <col min="14603" max="14603" width="29.7109375" style="202" customWidth="1"/>
    <col min="14604" max="14604" width="12" style="202" bestFit="1" customWidth="1"/>
    <col min="14605" max="14607" width="11.42578125" style="202"/>
    <col min="14608" max="14608" width="12" style="202" bestFit="1" customWidth="1"/>
    <col min="14609" max="14849" width="11.42578125" style="202"/>
    <col min="14850" max="14850" width="16.42578125" style="202" customWidth="1"/>
    <col min="14851" max="14851" width="11" style="202" customWidth="1"/>
    <col min="14852" max="14856" width="11.42578125" style="202"/>
    <col min="14857" max="14857" width="7.28515625" style="202" customWidth="1"/>
    <col min="14858" max="14858" width="11.42578125" style="202"/>
    <col min="14859" max="14859" width="29.7109375" style="202" customWidth="1"/>
    <col min="14860" max="14860" width="12" style="202" bestFit="1" customWidth="1"/>
    <col min="14861" max="14863" width="11.42578125" style="202"/>
    <col min="14864" max="14864" width="12" style="202" bestFit="1" customWidth="1"/>
    <col min="14865" max="15105" width="11.42578125" style="202"/>
    <col min="15106" max="15106" width="16.42578125" style="202" customWidth="1"/>
    <col min="15107" max="15107" width="11" style="202" customWidth="1"/>
    <col min="15108" max="15112" width="11.42578125" style="202"/>
    <col min="15113" max="15113" width="7.28515625" style="202" customWidth="1"/>
    <col min="15114" max="15114" width="11.42578125" style="202"/>
    <col min="15115" max="15115" width="29.7109375" style="202" customWidth="1"/>
    <col min="15116" max="15116" width="12" style="202" bestFit="1" customWidth="1"/>
    <col min="15117" max="15119" width="11.42578125" style="202"/>
    <col min="15120" max="15120" width="12" style="202" bestFit="1" customWidth="1"/>
    <col min="15121" max="15361" width="11.42578125" style="202"/>
    <col min="15362" max="15362" width="16.42578125" style="202" customWidth="1"/>
    <col min="15363" max="15363" width="11" style="202" customWidth="1"/>
    <col min="15364" max="15368" width="11.42578125" style="202"/>
    <col min="15369" max="15369" width="7.28515625" style="202" customWidth="1"/>
    <col min="15370" max="15370" width="11.42578125" style="202"/>
    <col min="15371" max="15371" width="29.7109375" style="202" customWidth="1"/>
    <col min="15372" max="15372" width="12" style="202" bestFit="1" customWidth="1"/>
    <col min="15373" max="15375" width="11.42578125" style="202"/>
    <col min="15376" max="15376" width="12" style="202" bestFit="1" customWidth="1"/>
    <col min="15377" max="15617" width="11.42578125" style="202"/>
    <col min="15618" max="15618" width="16.42578125" style="202" customWidth="1"/>
    <col min="15619" max="15619" width="11" style="202" customWidth="1"/>
    <col min="15620" max="15624" width="11.42578125" style="202"/>
    <col min="15625" max="15625" width="7.28515625" style="202" customWidth="1"/>
    <col min="15626" max="15626" width="11.42578125" style="202"/>
    <col min="15627" max="15627" width="29.7109375" style="202" customWidth="1"/>
    <col min="15628" max="15628" width="12" style="202" bestFit="1" customWidth="1"/>
    <col min="15629" max="15631" width="11.42578125" style="202"/>
    <col min="15632" max="15632" width="12" style="202" bestFit="1" customWidth="1"/>
    <col min="15633" max="15873" width="11.42578125" style="202"/>
    <col min="15874" max="15874" width="16.42578125" style="202" customWidth="1"/>
    <col min="15875" max="15875" width="11" style="202" customWidth="1"/>
    <col min="15876" max="15880" width="11.42578125" style="202"/>
    <col min="15881" max="15881" width="7.28515625" style="202" customWidth="1"/>
    <col min="15882" max="15882" width="11.42578125" style="202"/>
    <col min="15883" max="15883" width="29.7109375" style="202" customWidth="1"/>
    <col min="15884" max="15884" width="12" style="202" bestFit="1" customWidth="1"/>
    <col min="15885" max="15887" width="11.42578125" style="202"/>
    <col min="15888" max="15888" width="12" style="202" bestFit="1" customWidth="1"/>
    <col min="15889" max="16129" width="11.42578125" style="202"/>
    <col min="16130" max="16130" width="16.42578125" style="202" customWidth="1"/>
    <col min="16131" max="16131" width="11" style="202" customWidth="1"/>
    <col min="16132" max="16136" width="11.42578125" style="202"/>
    <col min="16137" max="16137" width="7.28515625" style="202" customWidth="1"/>
    <col min="16138" max="16138" width="11.42578125" style="202"/>
    <col min="16139" max="16139" width="29.7109375" style="202" customWidth="1"/>
    <col min="16140" max="16140" width="12" style="202" bestFit="1" customWidth="1"/>
    <col min="16141" max="16143" width="11.42578125" style="202"/>
    <col min="16144" max="16144" width="12" style="202" bestFit="1" customWidth="1"/>
    <col min="16145" max="16384" width="11.42578125" style="202"/>
  </cols>
  <sheetData>
    <row r="1" spans="2:17" x14ac:dyDescent="0.25">
      <c r="B1" s="335" t="s">
        <v>230</v>
      </c>
      <c r="K1" s="209" t="s">
        <v>139</v>
      </c>
    </row>
    <row r="2" spans="2:17" ht="15.75" thickBot="1" x14ac:dyDescent="0.3">
      <c r="K2" s="209"/>
    </row>
    <row r="3" spans="2:17" x14ac:dyDescent="0.25">
      <c r="C3" s="202" t="s">
        <v>590</v>
      </c>
      <c r="K3" s="203" t="s">
        <v>140</v>
      </c>
      <c r="L3" s="204"/>
      <c r="M3" s="204"/>
      <c r="N3" s="204"/>
      <c r="O3" s="204"/>
      <c r="P3" s="204"/>
      <c r="Q3" s="205"/>
    </row>
    <row r="4" spans="2:17" ht="15.75" thickBot="1" x14ac:dyDescent="0.3">
      <c r="B4" s="335" t="s">
        <v>139</v>
      </c>
      <c r="H4" s="336"/>
      <c r="I4" s="336"/>
      <c r="K4" s="221" t="s">
        <v>141</v>
      </c>
      <c r="L4" s="222"/>
      <c r="M4" s="222"/>
      <c r="N4" s="222"/>
      <c r="O4" s="222"/>
      <c r="P4" s="1434">
        <v>12000</v>
      </c>
      <c r="Q4" s="337" t="s">
        <v>142</v>
      </c>
    </row>
    <row r="5" spans="2:17" ht="15.75" thickBot="1" x14ac:dyDescent="0.3">
      <c r="B5" s="203"/>
      <c r="C5" s="1435" t="s">
        <v>143</v>
      </c>
      <c r="D5" s="1436">
        <v>39600</v>
      </c>
      <c r="E5" s="1436">
        <f>+D5+31</f>
        <v>39631</v>
      </c>
      <c r="F5" s="1436">
        <f>+E5+31</f>
        <v>39662</v>
      </c>
      <c r="G5" s="1436">
        <f>+F5+31</f>
        <v>39693</v>
      </c>
      <c r="H5" s="1437" t="s">
        <v>84</v>
      </c>
      <c r="I5" s="1438" t="s">
        <v>144</v>
      </c>
    </row>
    <row r="6" spans="2:17" x14ac:dyDescent="0.25">
      <c r="B6" s="211"/>
      <c r="C6" s="338" t="s">
        <v>145</v>
      </c>
      <c r="D6" s="207"/>
      <c r="E6" s="207"/>
      <c r="F6" s="207"/>
      <c r="G6" s="207"/>
      <c r="H6" s="207"/>
      <c r="I6" s="228"/>
      <c r="K6" s="203" t="s">
        <v>146</v>
      </c>
      <c r="L6" s="204"/>
      <c r="M6" s="204"/>
      <c r="N6" s="204"/>
      <c r="O6" s="204"/>
      <c r="P6" s="204"/>
      <c r="Q6" s="205"/>
    </row>
    <row r="7" spans="2:17" x14ac:dyDescent="0.25">
      <c r="B7" s="211" t="s">
        <v>147</v>
      </c>
      <c r="C7" s="213">
        <v>18300</v>
      </c>
      <c r="D7" s="213"/>
      <c r="E7" s="213">
        <v>15200</v>
      </c>
      <c r="F7" s="213">
        <v>4500</v>
      </c>
      <c r="G7" s="213">
        <v>15000</v>
      </c>
      <c r="H7" s="213">
        <f>SUM(D7:G7)</f>
        <v>34700</v>
      </c>
      <c r="I7" s="339">
        <f>+H7/$H$7</f>
        <v>1</v>
      </c>
      <c r="K7" s="211"/>
      <c r="L7" s="207"/>
      <c r="M7" s="207"/>
      <c r="N7" s="207"/>
      <c r="O7" s="207"/>
      <c r="P7" s="207"/>
      <c r="Q7" s="228"/>
    </row>
    <row r="8" spans="2:17" x14ac:dyDescent="0.25">
      <c r="B8" s="211" t="s">
        <v>148</v>
      </c>
      <c r="C8" s="213"/>
      <c r="D8" s="213"/>
      <c r="E8" s="213">
        <v>11300</v>
      </c>
      <c r="F8" s="213">
        <v>3300</v>
      </c>
      <c r="G8" s="213">
        <v>11200</v>
      </c>
      <c r="H8" s="213">
        <f t="shared" ref="H8:H13" si="0">SUM(D8:G8)</f>
        <v>25800</v>
      </c>
      <c r="I8" s="1439">
        <f>+H8/$H$7</f>
        <v>0.74351585014409227</v>
      </c>
      <c r="K8" s="211"/>
      <c r="L8" s="340">
        <v>39599</v>
      </c>
      <c r="M8" s="340">
        <v>39600</v>
      </c>
      <c r="N8" s="340">
        <f>+M8+31</f>
        <v>39631</v>
      </c>
      <c r="O8" s="340">
        <f>+N8+31</f>
        <v>39662</v>
      </c>
      <c r="P8" s="340">
        <f>+O8+31</f>
        <v>39693</v>
      </c>
      <c r="Q8" s="228"/>
    </row>
    <row r="9" spans="2:17" x14ac:dyDescent="0.25">
      <c r="B9" s="341" t="s">
        <v>149</v>
      </c>
      <c r="C9" s="342"/>
      <c r="D9" s="342"/>
      <c r="E9" s="342">
        <f>+E7-E8</f>
        <v>3900</v>
      </c>
      <c r="F9" s="342">
        <f>+F7-F8</f>
        <v>1200</v>
      </c>
      <c r="G9" s="342">
        <f>+G7-G8</f>
        <v>3800</v>
      </c>
      <c r="H9" s="342">
        <f t="shared" si="0"/>
        <v>8900</v>
      </c>
      <c r="I9" s="1440">
        <f>+H9/$H$7</f>
        <v>0.25648414985590778</v>
      </c>
      <c r="K9" s="211"/>
      <c r="L9" s="340"/>
      <c r="M9" s="340" t="s">
        <v>150</v>
      </c>
      <c r="N9" s="343" t="s">
        <v>151</v>
      </c>
      <c r="O9" s="343" t="s">
        <v>151</v>
      </c>
      <c r="P9" s="343" t="s">
        <v>151</v>
      </c>
      <c r="Q9" s="228"/>
    </row>
    <row r="10" spans="2:17" x14ac:dyDescent="0.25">
      <c r="B10" s="211" t="s">
        <v>152</v>
      </c>
      <c r="C10" s="213"/>
      <c r="D10" s="213">
        <v>3100</v>
      </c>
      <c r="E10" s="213">
        <v>3100</v>
      </c>
      <c r="F10" s="213">
        <v>3100</v>
      </c>
      <c r="G10" s="213">
        <v>3100</v>
      </c>
      <c r="H10" s="213">
        <f t="shared" si="0"/>
        <v>12400</v>
      </c>
      <c r="I10" s="228"/>
      <c r="K10" s="211"/>
      <c r="L10" s="207"/>
      <c r="M10" s="207"/>
      <c r="N10" s="338" t="s">
        <v>153</v>
      </c>
      <c r="O10" s="338" t="s">
        <v>153</v>
      </c>
      <c r="P10" s="338" t="s">
        <v>153</v>
      </c>
      <c r="Q10" s="344" t="s">
        <v>84</v>
      </c>
    </row>
    <row r="11" spans="2:17" x14ac:dyDescent="0.25">
      <c r="B11" s="211" t="s">
        <v>154</v>
      </c>
      <c r="C11" s="213"/>
      <c r="D11" s="213"/>
      <c r="E11" s="213">
        <v>80</v>
      </c>
      <c r="F11" s="213">
        <v>25</v>
      </c>
      <c r="G11" s="213">
        <v>80</v>
      </c>
      <c r="H11" s="213">
        <f t="shared" si="0"/>
        <v>185</v>
      </c>
      <c r="I11" s="228"/>
      <c r="K11" s="211"/>
      <c r="L11" s="207"/>
      <c r="M11" s="207"/>
      <c r="N11" s="340" t="s">
        <v>150</v>
      </c>
      <c r="O11" s="340" t="s">
        <v>150</v>
      </c>
      <c r="P11" s="340" t="s">
        <v>150</v>
      </c>
      <c r="Q11" s="228"/>
    </row>
    <row r="12" spans="2:17" x14ac:dyDescent="0.25">
      <c r="B12" s="211" t="s">
        <v>155</v>
      </c>
      <c r="C12" s="213"/>
      <c r="D12" s="213">
        <v>100</v>
      </c>
      <c r="E12" s="213">
        <f>180-E11</f>
        <v>100</v>
      </c>
      <c r="F12" s="213">
        <f>180-F11</f>
        <v>155</v>
      </c>
      <c r="G12" s="213">
        <f>180-G11</f>
        <v>100</v>
      </c>
      <c r="H12" s="213">
        <f t="shared" si="0"/>
        <v>455</v>
      </c>
      <c r="I12" s="228"/>
      <c r="K12" s="211" t="s">
        <v>147</v>
      </c>
      <c r="L12" s="213"/>
      <c r="M12" s="213">
        <f>+(D21+D34)/2</f>
        <v>17450</v>
      </c>
      <c r="N12" s="213">
        <f>+(E21+E34)/2-E7</f>
        <v>2825</v>
      </c>
      <c r="O12" s="213">
        <f>+(F21+F34)/2-F7</f>
        <v>1700</v>
      </c>
      <c r="P12" s="213">
        <f>+(G21+G34)/2-G7</f>
        <v>2800</v>
      </c>
      <c r="Q12" s="214">
        <f>SUM(M12:P12)</f>
        <v>24775</v>
      </c>
    </row>
    <row r="13" spans="2:17" x14ac:dyDescent="0.25">
      <c r="B13" s="211" t="s">
        <v>156</v>
      </c>
      <c r="C13" s="213"/>
      <c r="D13" s="213">
        <v>80</v>
      </c>
      <c r="E13" s="213">
        <v>80</v>
      </c>
      <c r="F13" s="213">
        <v>80</v>
      </c>
      <c r="G13" s="213">
        <v>80</v>
      </c>
      <c r="H13" s="213">
        <f t="shared" si="0"/>
        <v>320</v>
      </c>
      <c r="I13" s="228"/>
      <c r="K13" s="211" t="s">
        <v>148</v>
      </c>
      <c r="L13" s="213" t="s">
        <v>229</v>
      </c>
      <c r="M13" s="213">
        <f>+M12*$I$22</f>
        <v>12899.086378737542</v>
      </c>
      <c r="N13" s="213">
        <f>+N12*$I$22</f>
        <v>2088.2475083056479</v>
      </c>
      <c r="O13" s="213">
        <f>+O12*$I$22</f>
        <v>1256.6445182724253</v>
      </c>
      <c r="P13" s="213">
        <f>+P12*$I$22</f>
        <v>2069.7674418604652</v>
      </c>
      <c r="Q13" s="214">
        <f>SUM(M13:P13)</f>
        <v>18313.74584717608</v>
      </c>
    </row>
    <row r="14" spans="2:17" x14ac:dyDescent="0.25">
      <c r="B14" s="1441" t="s">
        <v>157</v>
      </c>
      <c r="C14" s="213"/>
      <c r="D14" s="1442">
        <f>SUM(D10:D13)</f>
        <v>3280</v>
      </c>
      <c r="E14" s="1442">
        <f>SUM(E10:E13)</f>
        <v>3360</v>
      </c>
      <c r="F14" s="1442">
        <f>SUM(F10:F13)</f>
        <v>3360</v>
      </c>
      <c r="G14" s="1442">
        <f>SUM(G10:G13)</f>
        <v>3360</v>
      </c>
      <c r="H14" s="1442">
        <f>SUM(H10:H13)</f>
        <v>13360</v>
      </c>
      <c r="I14" s="228"/>
      <c r="K14" s="211"/>
      <c r="L14" s="213"/>
      <c r="M14" s="213"/>
      <c r="N14" s="213"/>
      <c r="O14" s="213"/>
      <c r="P14" s="213"/>
      <c r="Q14" s="214"/>
    </row>
    <row r="15" spans="2:17" x14ac:dyDescent="0.25">
      <c r="B15" s="341" t="s">
        <v>158</v>
      </c>
      <c r="C15" s="342"/>
      <c r="D15" s="342">
        <f>+D9-D14</f>
        <v>-3280</v>
      </c>
      <c r="E15" s="342">
        <f>+E9-E14</f>
        <v>540</v>
      </c>
      <c r="F15" s="342">
        <f>+F9-F14</f>
        <v>-2160</v>
      </c>
      <c r="G15" s="342">
        <f>+G9-G14</f>
        <v>440</v>
      </c>
      <c r="H15" s="342">
        <f>+H9-H14</f>
        <v>-4460</v>
      </c>
      <c r="I15" s="228"/>
      <c r="K15" s="341" t="s">
        <v>149</v>
      </c>
      <c r="L15" s="342"/>
      <c r="M15" s="342">
        <f>+M12-M13</f>
        <v>4550.913621262458</v>
      </c>
      <c r="N15" s="342">
        <f>+N12-N13</f>
        <v>736.7524916943521</v>
      </c>
      <c r="O15" s="342">
        <f>+O12-O13</f>
        <v>443.35548172757467</v>
      </c>
      <c r="P15" s="342">
        <f>+P12-P13</f>
        <v>730.23255813953483</v>
      </c>
      <c r="Q15" s="345">
        <f>SUM(M15:P15)</f>
        <v>6461.2541528239199</v>
      </c>
    </row>
    <row r="16" spans="2:17" ht="15.75" thickBot="1" x14ac:dyDescent="0.3">
      <c r="B16" s="221"/>
      <c r="C16" s="229"/>
      <c r="D16" s="229"/>
      <c r="E16" s="229"/>
      <c r="F16" s="229"/>
      <c r="G16" s="229"/>
      <c r="H16" s="222"/>
      <c r="I16" s="337"/>
      <c r="K16" s="346" t="s">
        <v>159</v>
      </c>
      <c r="L16" s="286"/>
      <c r="M16" s="286"/>
      <c r="N16" s="286"/>
      <c r="O16" s="286"/>
      <c r="P16" s="286"/>
      <c r="Q16" s="287"/>
    </row>
    <row r="17" spans="2:19" x14ac:dyDescent="0.25">
      <c r="B17" s="202" t="s">
        <v>160</v>
      </c>
      <c r="K17" s="346"/>
      <c r="L17" s="286"/>
      <c r="M17" s="286"/>
      <c r="N17" s="286"/>
      <c r="O17" s="286"/>
      <c r="P17" s="286"/>
      <c r="Q17" s="287"/>
    </row>
    <row r="18" spans="2:19" x14ac:dyDescent="0.25">
      <c r="K18" s="347"/>
      <c r="L18" s="213"/>
      <c r="M18" s="213"/>
      <c r="N18" s="213"/>
      <c r="O18" s="213"/>
      <c r="P18" s="213"/>
      <c r="Q18" s="214"/>
    </row>
    <row r="19" spans="2:19" x14ac:dyDescent="0.25">
      <c r="C19" s="348" t="s">
        <v>143</v>
      </c>
      <c r="D19" s="349">
        <v>39234</v>
      </c>
      <c r="E19" s="349">
        <f>+D19+31</f>
        <v>39265</v>
      </c>
      <c r="F19" s="349">
        <f>+E19+31</f>
        <v>39296</v>
      </c>
      <c r="G19" s="349">
        <f>+F19+31</f>
        <v>39327</v>
      </c>
      <c r="H19" s="336" t="s">
        <v>84</v>
      </c>
      <c r="I19" s="336" t="s">
        <v>144</v>
      </c>
      <c r="K19" s="211" t="s">
        <v>154</v>
      </c>
      <c r="L19" s="213"/>
      <c r="M19" s="213">
        <v>-80</v>
      </c>
      <c r="N19" s="213"/>
      <c r="O19" s="213"/>
      <c r="P19" s="213"/>
      <c r="Q19" s="214">
        <f>SUM(M19:P19)</f>
        <v>-80</v>
      </c>
    </row>
    <row r="20" spans="2:19" x14ac:dyDescent="0.25">
      <c r="C20" s="336" t="s">
        <v>145</v>
      </c>
      <c r="K20" s="341" t="s">
        <v>158</v>
      </c>
      <c r="L20" s="342"/>
      <c r="M20" s="342">
        <f>SUM(M15:M19)</f>
        <v>4470.913621262458</v>
      </c>
      <c r="N20" s="342">
        <f>SUM(N15:N19)</f>
        <v>736.7524916943521</v>
      </c>
      <c r="O20" s="342">
        <f>SUM(O15:O19)</f>
        <v>443.35548172757467</v>
      </c>
      <c r="P20" s="342">
        <f>SUM(P15:P19)</f>
        <v>730.23255813953483</v>
      </c>
      <c r="Q20" s="345">
        <f>SUM(Q15:Q19)</f>
        <v>6381.2541528239199</v>
      </c>
    </row>
    <row r="21" spans="2:19" ht="15.75" thickBot="1" x14ac:dyDescent="0.3">
      <c r="B21" s="202" t="s">
        <v>147</v>
      </c>
      <c r="C21" s="231">
        <v>18000</v>
      </c>
      <c r="D21" s="231">
        <v>17800</v>
      </c>
      <c r="E21" s="231">
        <v>18200</v>
      </c>
      <c r="F21" s="231">
        <v>6300</v>
      </c>
      <c r="G21" s="231">
        <v>17900</v>
      </c>
      <c r="H21" s="231">
        <f>SUM(D21:G21)</f>
        <v>60200</v>
      </c>
      <c r="I21" s="350">
        <f>+H21/$H$21</f>
        <v>1</v>
      </c>
      <c r="K21" s="221"/>
      <c r="L21" s="222"/>
      <c r="M21" s="222"/>
      <c r="N21" s="222"/>
      <c r="O21" s="222"/>
      <c r="P21" s="222"/>
      <c r="Q21" s="337">
        <f>+Q20/Q12</f>
        <v>0.25756828063870513</v>
      </c>
    </row>
    <row r="22" spans="2:19" ht="15.75" thickBot="1" x14ac:dyDescent="0.3">
      <c r="B22" s="202" t="s">
        <v>148</v>
      </c>
      <c r="C22" s="231"/>
      <c r="D22" s="231">
        <v>13000</v>
      </c>
      <c r="E22" s="231">
        <v>13500</v>
      </c>
      <c r="F22" s="231">
        <v>4800</v>
      </c>
      <c r="G22" s="231">
        <v>13200</v>
      </c>
      <c r="H22" s="231">
        <f t="shared" ref="H22:H27" si="1">SUM(D22:G22)</f>
        <v>44500</v>
      </c>
      <c r="I22" s="351">
        <f>+H22/$H$21</f>
        <v>0.73920265780730898</v>
      </c>
    </row>
    <row r="23" spans="2:19" x14ac:dyDescent="0.25">
      <c r="B23" s="352" t="s">
        <v>149</v>
      </c>
      <c r="C23" s="353"/>
      <c r="D23" s="353">
        <f>+D21-D22</f>
        <v>4800</v>
      </c>
      <c r="E23" s="353">
        <f>+E21-E22</f>
        <v>4700</v>
      </c>
      <c r="F23" s="353">
        <f>+F21-F22</f>
        <v>1500</v>
      </c>
      <c r="G23" s="353">
        <f>+G21-G22</f>
        <v>4700</v>
      </c>
      <c r="H23" s="353">
        <f t="shared" si="1"/>
        <v>15700</v>
      </c>
      <c r="I23" s="350">
        <f>+H23/$H$21</f>
        <v>0.26079734219269102</v>
      </c>
      <c r="K23" s="203"/>
      <c r="L23" s="204"/>
      <c r="M23" s="204"/>
      <c r="N23" s="204"/>
      <c r="O23" s="204"/>
      <c r="P23" s="204"/>
      <c r="Q23" s="205"/>
    </row>
    <row r="24" spans="2:19" x14ac:dyDescent="0.25">
      <c r="B24" s="202" t="s">
        <v>152</v>
      </c>
      <c r="C24" s="231"/>
      <c r="D24" s="231">
        <v>3000</v>
      </c>
      <c r="E24" s="231">
        <v>3000</v>
      </c>
      <c r="F24" s="231">
        <v>3000</v>
      </c>
      <c r="G24" s="231">
        <v>3000</v>
      </c>
      <c r="H24" s="231">
        <f t="shared" si="1"/>
        <v>12000</v>
      </c>
      <c r="K24" s="211" t="s">
        <v>161</v>
      </c>
      <c r="L24" s="207"/>
      <c r="M24" s="207"/>
      <c r="N24" s="207"/>
      <c r="O24" s="207"/>
      <c r="P24" s="207"/>
      <c r="Q24" s="228"/>
    </row>
    <row r="25" spans="2:19" ht="15.75" thickBot="1" x14ac:dyDescent="0.3">
      <c r="B25" s="202" t="s">
        <v>154</v>
      </c>
      <c r="C25" s="231"/>
      <c r="D25" s="231">
        <v>80</v>
      </c>
      <c r="E25" s="231">
        <v>80</v>
      </c>
      <c r="F25" s="231">
        <v>20</v>
      </c>
      <c r="G25" s="231">
        <v>80</v>
      </c>
      <c r="H25" s="231">
        <f t="shared" si="1"/>
        <v>260</v>
      </c>
      <c r="K25" s="211"/>
      <c r="L25" s="207"/>
      <c r="M25" s="207"/>
      <c r="N25" s="207"/>
      <c r="O25" s="207"/>
      <c r="P25" s="207"/>
      <c r="Q25" s="228"/>
    </row>
    <row r="26" spans="2:19" x14ac:dyDescent="0.25">
      <c r="B26" s="202" t="s">
        <v>155</v>
      </c>
      <c r="C26" s="231"/>
      <c r="D26" s="231">
        <v>120</v>
      </c>
      <c r="E26" s="231">
        <v>100</v>
      </c>
      <c r="F26" s="231">
        <v>40</v>
      </c>
      <c r="G26" s="231">
        <v>130</v>
      </c>
      <c r="H26" s="231">
        <f t="shared" si="1"/>
        <v>390</v>
      </c>
      <c r="K26" s="203"/>
      <c r="L26" s="204"/>
      <c r="M26" s="204"/>
      <c r="N26" s="254">
        <v>2007</v>
      </c>
      <c r="O26" s="256">
        <v>2008</v>
      </c>
      <c r="P26" s="207"/>
      <c r="Q26" s="228"/>
    </row>
    <row r="27" spans="2:19" x14ac:dyDescent="0.25">
      <c r="B27" s="202" t="s">
        <v>156</v>
      </c>
      <c r="C27" s="231"/>
      <c r="D27" s="231">
        <v>80</v>
      </c>
      <c r="E27" s="231">
        <v>80</v>
      </c>
      <c r="F27" s="231">
        <v>80</v>
      </c>
      <c r="G27" s="231">
        <v>80</v>
      </c>
      <c r="H27" s="231">
        <f t="shared" si="1"/>
        <v>320</v>
      </c>
      <c r="K27" s="1443" t="s">
        <v>162</v>
      </c>
      <c r="L27" s="1444"/>
      <c r="M27" s="1444"/>
      <c r="N27" s="1445">
        <f>+H24+H26+H27+H25</f>
        <v>12970</v>
      </c>
      <c r="O27" s="1446">
        <f>+H14</f>
        <v>13360</v>
      </c>
      <c r="P27" s="207"/>
      <c r="Q27" s="228"/>
    </row>
    <row r="28" spans="2:19" x14ac:dyDescent="0.25">
      <c r="B28" s="354" t="s">
        <v>157</v>
      </c>
      <c r="C28" s="231"/>
      <c r="D28" s="355">
        <f>SUM(D24:D27)</f>
        <v>3280</v>
      </c>
      <c r="E28" s="355">
        <f>SUM(E24:E27)</f>
        <v>3260</v>
      </c>
      <c r="F28" s="355">
        <f>SUM(F24:F27)</f>
        <v>3140</v>
      </c>
      <c r="G28" s="355">
        <f>SUM(G24:G27)</f>
        <v>3290</v>
      </c>
      <c r="H28" s="355">
        <f>SUM(H24:H27)</f>
        <v>12970</v>
      </c>
      <c r="K28" s="211" t="s">
        <v>163</v>
      </c>
      <c r="L28" s="207"/>
      <c r="M28" s="207"/>
      <c r="N28" s="207"/>
      <c r="O28" s="214">
        <f>+H15</f>
        <v>-4460</v>
      </c>
      <c r="P28" s="207"/>
      <c r="Q28" s="228"/>
      <c r="R28" s="207"/>
      <c r="S28" s="228"/>
    </row>
    <row r="29" spans="2:19" x14ac:dyDescent="0.25">
      <c r="B29" s="352" t="s">
        <v>158</v>
      </c>
      <c r="C29" s="353"/>
      <c r="D29" s="353">
        <f>+D23-D28</f>
        <v>1520</v>
      </c>
      <c r="E29" s="353">
        <f>+E23-E28</f>
        <v>1440</v>
      </c>
      <c r="F29" s="353">
        <f>+F23-F28</f>
        <v>-1640</v>
      </c>
      <c r="G29" s="353">
        <f>+G23-G28</f>
        <v>1410</v>
      </c>
      <c r="H29" s="353">
        <f>+H23-H28</f>
        <v>2730</v>
      </c>
      <c r="K29" s="211" t="s">
        <v>164</v>
      </c>
      <c r="L29" s="207"/>
      <c r="M29" s="207"/>
      <c r="N29" s="207"/>
      <c r="O29" s="214">
        <f>+Q20</f>
        <v>6381.2541528239199</v>
      </c>
      <c r="P29" s="207"/>
      <c r="Q29" s="228"/>
      <c r="R29" s="207"/>
      <c r="S29" s="228"/>
    </row>
    <row r="30" spans="2:19" x14ac:dyDescent="0.25">
      <c r="K30" s="1443" t="s">
        <v>165</v>
      </c>
      <c r="L30" s="1444" t="s">
        <v>166</v>
      </c>
      <c r="M30" s="1444"/>
      <c r="N30" s="1447">
        <f>+H29</f>
        <v>2730</v>
      </c>
      <c r="O30" s="1448">
        <f>+Q20+H15</f>
        <v>1921.2541528239199</v>
      </c>
      <c r="P30" s="207"/>
      <c r="Q30" s="228"/>
      <c r="R30" s="207"/>
      <c r="S30" s="228"/>
    </row>
    <row r="31" spans="2:19" x14ac:dyDescent="0.25">
      <c r="K31" s="211"/>
      <c r="L31" s="207"/>
      <c r="M31" s="207"/>
      <c r="N31" s="356"/>
      <c r="O31" s="357"/>
      <c r="P31" s="207"/>
      <c r="Q31" s="228"/>
      <c r="R31" s="207"/>
      <c r="S31" s="228"/>
    </row>
    <row r="32" spans="2:19" x14ac:dyDescent="0.25">
      <c r="C32" s="348" t="s">
        <v>143</v>
      </c>
      <c r="D32" s="349">
        <v>38869</v>
      </c>
      <c r="E32" s="349">
        <f>+D32+31</f>
        <v>38900</v>
      </c>
      <c r="F32" s="349">
        <f>+E32+31</f>
        <v>38931</v>
      </c>
      <c r="G32" s="349">
        <f>+F32+31</f>
        <v>38962</v>
      </c>
      <c r="H32" s="336" t="s">
        <v>84</v>
      </c>
      <c r="I32" s="336" t="s">
        <v>144</v>
      </c>
      <c r="K32" s="358" t="s">
        <v>200</v>
      </c>
      <c r="L32" s="1449" t="s">
        <v>166</v>
      </c>
      <c r="M32" s="1449"/>
      <c r="N32" s="273">
        <f>+H23</f>
        <v>15700</v>
      </c>
      <c r="O32" s="359">
        <f>+H9+Q20</f>
        <v>15281.25415282392</v>
      </c>
      <c r="P32" s="207"/>
      <c r="Q32" s="228"/>
      <c r="R32" s="207"/>
      <c r="S32" s="228"/>
    </row>
    <row r="33" spans="2:19" x14ac:dyDescent="0.25">
      <c r="C33" s="336" t="s">
        <v>145</v>
      </c>
      <c r="K33" s="211" t="s">
        <v>167</v>
      </c>
      <c r="L33" s="207"/>
      <c r="M33" s="207"/>
      <c r="N33" s="360"/>
      <c r="O33" s="361">
        <f>+Q20/(Q20+H9)</f>
        <v>0.41758707034165043</v>
      </c>
      <c r="P33" s="207"/>
      <c r="Q33" s="228"/>
      <c r="R33" s="207"/>
      <c r="S33" s="228"/>
    </row>
    <row r="34" spans="2:19" ht="15.75" thickBot="1" x14ac:dyDescent="0.3">
      <c r="B34" s="202" t="s">
        <v>147</v>
      </c>
      <c r="C34" s="231">
        <v>17900</v>
      </c>
      <c r="D34" s="231">
        <v>17100</v>
      </c>
      <c r="E34" s="231">
        <v>17850</v>
      </c>
      <c r="F34" s="231">
        <v>6100</v>
      </c>
      <c r="G34" s="231">
        <v>17700</v>
      </c>
      <c r="H34" s="231">
        <f>SUM(D34:G34)</f>
        <v>58750</v>
      </c>
      <c r="I34" s="350">
        <f>+H34/$H$34</f>
        <v>1</v>
      </c>
      <c r="K34" s="270"/>
      <c r="L34" s="362"/>
      <c r="M34" s="362"/>
      <c r="N34" s="363"/>
      <c r="O34" s="364">
        <f>(+O27+O30)*O33</f>
        <v>6381.2541528239199</v>
      </c>
      <c r="P34" s="222"/>
      <c r="Q34" s="337"/>
    </row>
    <row r="35" spans="2:19" x14ac:dyDescent="0.25">
      <c r="B35" s="202" t="s">
        <v>148</v>
      </c>
      <c r="C35" s="231"/>
      <c r="D35" s="231">
        <v>12900</v>
      </c>
      <c r="E35" s="231">
        <v>13200</v>
      </c>
      <c r="F35" s="231">
        <v>4500</v>
      </c>
      <c r="G35" s="231">
        <v>13100</v>
      </c>
      <c r="H35" s="231">
        <f t="shared" ref="H35:H40" si="2">SUM(D35:G35)</f>
        <v>43700</v>
      </c>
      <c r="I35" s="351">
        <f>+H35/$H$34</f>
        <v>0.74382978723404258</v>
      </c>
    </row>
    <row r="36" spans="2:19" x14ac:dyDescent="0.25">
      <c r="B36" s="352" t="s">
        <v>149</v>
      </c>
      <c r="C36" s="353"/>
      <c r="D36" s="353">
        <f>+D34-D35</f>
        <v>4200</v>
      </c>
      <c r="E36" s="353">
        <f>+E34-E35</f>
        <v>4650</v>
      </c>
      <c r="F36" s="353">
        <f>+F34-F35</f>
        <v>1600</v>
      </c>
      <c r="G36" s="353">
        <f>+G34-G35</f>
        <v>4600</v>
      </c>
      <c r="H36" s="353">
        <f t="shared" si="2"/>
        <v>15050</v>
      </c>
      <c r="I36" s="350">
        <f>+H36/$H$34</f>
        <v>0.25617021276595747</v>
      </c>
    </row>
    <row r="37" spans="2:19" x14ac:dyDescent="0.25">
      <c r="B37" s="202" t="s">
        <v>152</v>
      </c>
      <c r="C37" s="231"/>
      <c r="D37" s="231">
        <v>2900</v>
      </c>
      <c r="E37" s="231">
        <v>2900</v>
      </c>
      <c r="F37" s="231">
        <v>2900</v>
      </c>
      <c r="G37" s="231">
        <v>2900</v>
      </c>
      <c r="H37" s="231">
        <f t="shared" si="2"/>
        <v>11600</v>
      </c>
    </row>
    <row r="38" spans="2:19" x14ac:dyDescent="0.25">
      <c r="B38" s="202" t="s">
        <v>154</v>
      </c>
      <c r="C38" s="231"/>
      <c r="D38" s="231">
        <v>80</v>
      </c>
      <c r="E38" s="231">
        <v>80</v>
      </c>
      <c r="F38" s="231">
        <v>20</v>
      </c>
      <c r="G38" s="231">
        <v>80</v>
      </c>
      <c r="H38" s="231">
        <f t="shared" si="2"/>
        <v>260</v>
      </c>
    </row>
    <row r="39" spans="2:19" x14ac:dyDescent="0.25">
      <c r="B39" s="202" t="s">
        <v>155</v>
      </c>
      <c r="C39" s="231"/>
      <c r="D39" s="231">
        <v>130</v>
      </c>
      <c r="E39" s="231">
        <v>90</v>
      </c>
      <c r="F39" s="231">
        <v>30</v>
      </c>
      <c r="G39" s="231">
        <v>120</v>
      </c>
      <c r="H39" s="231">
        <f t="shared" si="2"/>
        <v>370</v>
      </c>
    </row>
    <row r="40" spans="2:19" x14ac:dyDescent="0.25">
      <c r="B40" s="202" t="s">
        <v>156</v>
      </c>
      <c r="C40" s="231"/>
      <c r="D40" s="231">
        <v>80</v>
      </c>
      <c r="E40" s="231">
        <v>80</v>
      </c>
      <c r="F40" s="231">
        <v>80</v>
      </c>
      <c r="G40" s="231">
        <v>80</v>
      </c>
      <c r="H40" s="231">
        <f t="shared" si="2"/>
        <v>320</v>
      </c>
    </row>
    <row r="41" spans="2:19" x14ac:dyDescent="0.25">
      <c r="B41" s="354" t="s">
        <v>157</v>
      </c>
      <c r="C41" s="231"/>
      <c r="D41" s="355">
        <f>SUM(D37:D40)</f>
        <v>3190</v>
      </c>
      <c r="E41" s="355">
        <f>SUM(E37:E40)</f>
        <v>3150</v>
      </c>
      <c r="F41" s="355">
        <f>SUM(F37:F40)</f>
        <v>3030</v>
      </c>
      <c r="G41" s="355">
        <f>SUM(G37:G40)</f>
        <v>3180</v>
      </c>
      <c r="H41" s="355">
        <f>SUM(H37:H40)</f>
        <v>12550</v>
      </c>
    </row>
    <row r="42" spans="2:19" x14ac:dyDescent="0.25">
      <c r="B42" s="352" t="s">
        <v>158</v>
      </c>
      <c r="C42" s="353"/>
      <c r="D42" s="353">
        <f>+D36-D37-D39-D40</f>
        <v>1090</v>
      </c>
      <c r="E42" s="353">
        <f>+E36-E37-E39-E40</f>
        <v>1580</v>
      </c>
      <c r="F42" s="353">
        <f>+F36-F37-F39-F40</f>
        <v>-1410</v>
      </c>
      <c r="G42" s="353">
        <f>+G36-G37-G39-G40</f>
        <v>1500</v>
      </c>
      <c r="H42" s="353">
        <f>+H36-H37-H39-H40</f>
        <v>2760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2"/>
  <sheetViews>
    <sheetView showGridLines="0" workbookViewId="0">
      <selection activeCell="E9" sqref="E9"/>
    </sheetView>
  </sheetViews>
  <sheetFormatPr baseColWidth="10" defaultColWidth="11.42578125" defaultRowHeight="15" x14ac:dyDescent="0.25"/>
  <cols>
    <col min="1" max="2" width="11.42578125" style="202"/>
    <col min="3" max="8" width="11.5703125" style="202" bestFit="1" customWidth="1"/>
    <col min="9" max="9" width="6" style="202" bestFit="1" customWidth="1"/>
    <col min="10" max="10" width="11.42578125" style="202"/>
    <col min="11" max="11" width="24.7109375" style="202" customWidth="1"/>
    <col min="12" max="12" width="11.5703125" style="202" bestFit="1" customWidth="1"/>
    <col min="13" max="13" width="12.140625" style="202" bestFit="1" customWidth="1"/>
    <col min="14" max="14" width="13.28515625" style="202" bestFit="1" customWidth="1"/>
    <col min="15" max="16" width="11.5703125" style="202" bestFit="1" customWidth="1"/>
    <col min="17" max="264" width="11.42578125" style="202"/>
    <col min="265" max="265" width="5.85546875" style="202" bestFit="1" customWidth="1"/>
    <col min="266" max="266" width="11.42578125" style="202"/>
    <col min="267" max="267" width="24.7109375" style="202" customWidth="1"/>
    <col min="268" max="268" width="11.42578125" style="202"/>
    <col min="269" max="270" width="12" style="202" bestFit="1" customWidth="1"/>
    <col min="271" max="520" width="11.42578125" style="202"/>
    <col min="521" max="521" width="5.85546875" style="202" bestFit="1" customWidth="1"/>
    <col min="522" max="522" width="11.42578125" style="202"/>
    <col min="523" max="523" width="24.7109375" style="202" customWidth="1"/>
    <col min="524" max="524" width="11.42578125" style="202"/>
    <col min="525" max="526" width="12" style="202" bestFit="1" customWidth="1"/>
    <col min="527" max="776" width="11.42578125" style="202"/>
    <col min="777" max="777" width="5.85546875" style="202" bestFit="1" customWidth="1"/>
    <col min="778" max="778" width="11.42578125" style="202"/>
    <col min="779" max="779" width="24.7109375" style="202" customWidth="1"/>
    <col min="780" max="780" width="11.42578125" style="202"/>
    <col min="781" max="782" width="12" style="202" bestFit="1" customWidth="1"/>
    <col min="783" max="1032" width="11.42578125" style="202"/>
    <col min="1033" max="1033" width="5.85546875" style="202" bestFit="1" customWidth="1"/>
    <col min="1034" max="1034" width="11.42578125" style="202"/>
    <col min="1035" max="1035" width="24.7109375" style="202" customWidth="1"/>
    <col min="1036" max="1036" width="11.42578125" style="202"/>
    <col min="1037" max="1038" width="12" style="202" bestFit="1" customWidth="1"/>
    <col min="1039" max="1288" width="11.42578125" style="202"/>
    <col min="1289" max="1289" width="5.85546875" style="202" bestFit="1" customWidth="1"/>
    <col min="1290" max="1290" width="11.42578125" style="202"/>
    <col min="1291" max="1291" width="24.7109375" style="202" customWidth="1"/>
    <col min="1292" max="1292" width="11.42578125" style="202"/>
    <col min="1293" max="1294" width="12" style="202" bestFit="1" customWidth="1"/>
    <col min="1295" max="1544" width="11.42578125" style="202"/>
    <col min="1545" max="1545" width="5.85546875" style="202" bestFit="1" customWidth="1"/>
    <col min="1546" max="1546" width="11.42578125" style="202"/>
    <col min="1547" max="1547" width="24.7109375" style="202" customWidth="1"/>
    <col min="1548" max="1548" width="11.42578125" style="202"/>
    <col min="1549" max="1550" width="12" style="202" bestFit="1" customWidth="1"/>
    <col min="1551" max="1800" width="11.42578125" style="202"/>
    <col min="1801" max="1801" width="5.85546875" style="202" bestFit="1" customWidth="1"/>
    <col min="1802" max="1802" width="11.42578125" style="202"/>
    <col min="1803" max="1803" width="24.7109375" style="202" customWidth="1"/>
    <col min="1804" max="1804" width="11.42578125" style="202"/>
    <col min="1805" max="1806" width="12" style="202" bestFit="1" customWidth="1"/>
    <col min="1807" max="2056" width="11.42578125" style="202"/>
    <col min="2057" max="2057" width="5.85546875" style="202" bestFit="1" customWidth="1"/>
    <col min="2058" max="2058" width="11.42578125" style="202"/>
    <col min="2059" max="2059" width="24.7109375" style="202" customWidth="1"/>
    <col min="2060" max="2060" width="11.42578125" style="202"/>
    <col min="2061" max="2062" width="12" style="202" bestFit="1" customWidth="1"/>
    <col min="2063" max="2312" width="11.42578125" style="202"/>
    <col min="2313" max="2313" width="5.85546875" style="202" bestFit="1" customWidth="1"/>
    <col min="2314" max="2314" width="11.42578125" style="202"/>
    <col min="2315" max="2315" width="24.7109375" style="202" customWidth="1"/>
    <col min="2316" max="2316" width="11.42578125" style="202"/>
    <col min="2317" max="2318" width="12" style="202" bestFit="1" customWidth="1"/>
    <col min="2319" max="2568" width="11.42578125" style="202"/>
    <col min="2569" max="2569" width="5.85546875" style="202" bestFit="1" customWidth="1"/>
    <col min="2570" max="2570" width="11.42578125" style="202"/>
    <col min="2571" max="2571" width="24.7109375" style="202" customWidth="1"/>
    <col min="2572" max="2572" width="11.42578125" style="202"/>
    <col min="2573" max="2574" width="12" style="202" bestFit="1" customWidth="1"/>
    <col min="2575" max="2824" width="11.42578125" style="202"/>
    <col min="2825" max="2825" width="5.85546875" style="202" bestFit="1" customWidth="1"/>
    <col min="2826" max="2826" width="11.42578125" style="202"/>
    <col min="2827" max="2827" width="24.7109375" style="202" customWidth="1"/>
    <col min="2828" max="2828" width="11.42578125" style="202"/>
    <col min="2829" max="2830" width="12" style="202" bestFit="1" customWidth="1"/>
    <col min="2831" max="3080" width="11.42578125" style="202"/>
    <col min="3081" max="3081" width="5.85546875" style="202" bestFit="1" customWidth="1"/>
    <col min="3082" max="3082" width="11.42578125" style="202"/>
    <col min="3083" max="3083" width="24.7109375" style="202" customWidth="1"/>
    <col min="3084" max="3084" width="11.42578125" style="202"/>
    <col min="3085" max="3086" width="12" style="202" bestFit="1" customWidth="1"/>
    <col min="3087" max="3336" width="11.42578125" style="202"/>
    <col min="3337" max="3337" width="5.85546875" style="202" bestFit="1" customWidth="1"/>
    <col min="3338" max="3338" width="11.42578125" style="202"/>
    <col min="3339" max="3339" width="24.7109375" style="202" customWidth="1"/>
    <col min="3340" max="3340" width="11.42578125" style="202"/>
    <col min="3341" max="3342" width="12" style="202" bestFit="1" customWidth="1"/>
    <col min="3343" max="3592" width="11.42578125" style="202"/>
    <col min="3593" max="3593" width="5.85546875" style="202" bestFit="1" customWidth="1"/>
    <col min="3594" max="3594" width="11.42578125" style="202"/>
    <col min="3595" max="3595" width="24.7109375" style="202" customWidth="1"/>
    <col min="3596" max="3596" width="11.42578125" style="202"/>
    <col min="3597" max="3598" width="12" style="202" bestFit="1" customWidth="1"/>
    <col min="3599" max="3848" width="11.42578125" style="202"/>
    <col min="3849" max="3849" width="5.85546875" style="202" bestFit="1" customWidth="1"/>
    <col min="3850" max="3850" width="11.42578125" style="202"/>
    <col min="3851" max="3851" width="24.7109375" style="202" customWidth="1"/>
    <col min="3852" max="3852" width="11.42578125" style="202"/>
    <col min="3853" max="3854" width="12" style="202" bestFit="1" customWidth="1"/>
    <col min="3855" max="4104" width="11.42578125" style="202"/>
    <col min="4105" max="4105" width="5.85546875" style="202" bestFit="1" customWidth="1"/>
    <col min="4106" max="4106" width="11.42578125" style="202"/>
    <col min="4107" max="4107" width="24.7109375" style="202" customWidth="1"/>
    <col min="4108" max="4108" width="11.42578125" style="202"/>
    <col min="4109" max="4110" width="12" style="202" bestFit="1" customWidth="1"/>
    <col min="4111" max="4360" width="11.42578125" style="202"/>
    <col min="4361" max="4361" width="5.85546875" style="202" bestFit="1" customWidth="1"/>
    <col min="4362" max="4362" width="11.42578125" style="202"/>
    <col min="4363" max="4363" width="24.7109375" style="202" customWidth="1"/>
    <col min="4364" max="4364" width="11.42578125" style="202"/>
    <col min="4365" max="4366" width="12" style="202" bestFit="1" customWidth="1"/>
    <col min="4367" max="4616" width="11.42578125" style="202"/>
    <col min="4617" max="4617" width="5.85546875" style="202" bestFit="1" customWidth="1"/>
    <col min="4618" max="4618" width="11.42578125" style="202"/>
    <col min="4619" max="4619" width="24.7109375" style="202" customWidth="1"/>
    <col min="4620" max="4620" width="11.42578125" style="202"/>
    <col min="4621" max="4622" width="12" style="202" bestFit="1" customWidth="1"/>
    <col min="4623" max="4872" width="11.42578125" style="202"/>
    <col min="4873" max="4873" width="5.85546875" style="202" bestFit="1" customWidth="1"/>
    <col min="4874" max="4874" width="11.42578125" style="202"/>
    <col min="4875" max="4875" width="24.7109375" style="202" customWidth="1"/>
    <col min="4876" max="4876" width="11.42578125" style="202"/>
    <col min="4877" max="4878" width="12" style="202" bestFit="1" customWidth="1"/>
    <col min="4879" max="5128" width="11.42578125" style="202"/>
    <col min="5129" max="5129" width="5.85546875" style="202" bestFit="1" customWidth="1"/>
    <col min="5130" max="5130" width="11.42578125" style="202"/>
    <col min="5131" max="5131" width="24.7109375" style="202" customWidth="1"/>
    <col min="5132" max="5132" width="11.42578125" style="202"/>
    <col min="5133" max="5134" width="12" style="202" bestFit="1" customWidth="1"/>
    <col min="5135" max="5384" width="11.42578125" style="202"/>
    <col min="5385" max="5385" width="5.85546875" style="202" bestFit="1" customWidth="1"/>
    <col min="5386" max="5386" width="11.42578125" style="202"/>
    <col min="5387" max="5387" width="24.7109375" style="202" customWidth="1"/>
    <col min="5388" max="5388" width="11.42578125" style="202"/>
    <col min="5389" max="5390" width="12" style="202" bestFit="1" customWidth="1"/>
    <col min="5391" max="5640" width="11.42578125" style="202"/>
    <col min="5641" max="5641" width="5.85546875" style="202" bestFit="1" customWidth="1"/>
    <col min="5642" max="5642" width="11.42578125" style="202"/>
    <col min="5643" max="5643" width="24.7109375" style="202" customWidth="1"/>
    <col min="5644" max="5644" width="11.42578125" style="202"/>
    <col min="5645" max="5646" width="12" style="202" bestFit="1" customWidth="1"/>
    <col min="5647" max="5896" width="11.42578125" style="202"/>
    <col min="5897" max="5897" width="5.85546875" style="202" bestFit="1" customWidth="1"/>
    <col min="5898" max="5898" width="11.42578125" style="202"/>
    <col min="5899" max="5899" width="24.7109375" style="202" customWidth="1"/>
    <col min="5900" max="5900" width="11.42578125" style="202"/>
    <col min="5901" max="5902" width="12" style="202" bestFit="1" customWidth="1"/>
    <col min="5903" max="6152" width="11.42578125" style="202"/>
    <col min="6153" max="6153" width="5.85546875" style="202" bestFit="1" customWidth="1"/>
    <col min="6154" max="6154" width="11.42578125" style="202"/>
    <col min="6155" max="6155" width="24.7109375" style="202" customWidth="1"/>
    <col min="6156" max="6156" width="11.42578125" style="202"/>
    <col min="6157" max="6158" width="12" style="202" bestFit="1" customWidth="1"/>
    <col min="6159" max="6408" width="11.42578125" style="202"/>
    <col min="6409" max="6409" width="5.85546875" style="202" bestFit="1" customWidth="1"/>
    <col min="6410" max="6410" width="11.42578125" style="202"/>
    <col min="6411" max="6411" width="24.7109375" style="202" customWidth="1"/>
    <col min="6412" max="6412" width="11.42578125" style="202"/>
    <col min="6413" max="6414" width="12" style="202" bestFit="1" customWidth="1"/>
    <col min="6415" max="6664" width="11.42578125" style="202"/>
    <col min="6665" max="6665" width="5.85546875" style="202" bestFit="1" customWidth="1"/>
    <col min="6666" max="6666" width="11.42578125" style="202"/>
    <col min="6667" max="6667" width="24.7109375" style="202" customWidth="1"/>
    <col min="6668" max="6668" width="11.42578125" style="202"/>
    <col min="6669" max="6670" width="12" style="202" bestFit="1" customWidth="1"/>
    <col min="6671" max="6920" width="11.42578125" style="202"/>
    <col min="6921" max="6921" width="5.85546875" style="202" bestFit="1" customWidth="1"/>
    <col min="6922" max="6922" width="11.42578125" style="202"/>
    <col min="6923" max="6923" width="24.7109375" style="202" customWidth="1"/>
    <col min="6924" max="6924" width="11.42578125" style="202"/>
    <col min="6925" max="6926" width="12" style="202" bestFit="1" customWidth="1"/>
    <col min="6927" max="7176" width="11.42578125" style="202"/>
    <col min="7177" max="7177" width="5.85546875" style="202" bestFit="1" customWidth="1"/>
    <col min="7178" max="7178" width="11.42578125" style="202"/>
    <col min="7179" max="7179" width="24.7109375" style="202" customWidth="1"/>
    <col min="7180" max="7180" width="11.42578125" style="202"/>
    <col min="7181" max="7182" width="12" style="202" bestFit="1" customWidth="1"/>
    <col min="7183" max="7432" width="11.42578125" style="202"/>
    <col min="7433" max="7433" width="5.85546875" style="202" bestFit="1" customWidth="1"/>
    <col min="7434" max="7434" width="11.42578125" style="202"/>
    <col min="7435" max="7435" width="24.7109375" style="202" customWidth="1"/>
    <col min="7436" max="7436" width="11.42578125" style="202"/>
    <col min="7437" max="7438" width="12" style="202" bestFit="1" customWidth="1"/>
    <col min="7439" max="7688" width="11.42578125" style="202"/>
    <col min="7689" max="7689" width="5.85546875" style="202" bestFit="1" customWidth="1"/>
    <col min="7690" max="7690" width="11.42578125" style="202"/>
    <col min="7691" max="7691" width="24.7109375" style="202" customWidth="1"/>
    <col min="7692" max="7692" width="11.42578125" style="202"/>
    <col min="7693" max="7694" width="12" style="202" bestFit="1" customWidth="1"/>
    <col min="7695" max="7944" width="11.42578125" style="202"/>
    <col min="7945" max="7945" width="5.85546875" style="202" bestFit="1" customWidth="1"/>
    <col min="7946" max="7946" width="11.42578125" style="202"/>
    <col min="7947" max="7947" width="24.7109375" style="202" customWidth="1"/>
    <col min="7948" max="7948" width="11.42578125" style="202"/>
    <col min="7949" max="7950" width="12" style="202" bestFit="1" customWidth="1"/>
    <col min="7951" max="8200" width="11.42578125" style="202"/>
    <col min="8201" max="8201" width="5.85546875" style="202" bestFit="1" customWidth="1"/>
    <col min="8202" max="8202" width="11.42578125" style="202"/>
    <col min="8203" max="8203" width="24.7109375" style="202" customWidth="1"/>
    <col min="8204" max="8204" width="11.42578125" style="202"/>
    <col min="8205" max="8206" width="12" style="202" bestFit="1" customWidth="1"/>
    <col min="8207" max="8456" width="11.42578125" style="202"/>
    <col min="8457" max="8457" width="5.85546875" style="202" bestFit="1" customWidth="1"/>
    <col min="8458" max="8458" width="11.42578125" style="202"/>
    <col min="8459" max="8459" width="24.7109375" style="202" customWidth="1"/>
    <col min="8460" max="8460" width="11.42578125" style="202"/>
    <col min="8461" max="8462" width="12" style="202" bestFit="1" customWidth="1"/>
    <col min="8463" max="8712" width="11.42578125" style="202"/>
    <col min="8713" max="8713" width="5.85546875" style="202" bestFit="1" customWidth="1"/>
    <col min="8714" max="8714" width="11.42578125" style="202"/>
    <col min="8715" max="8715" width="24.7109375" style="202" customWidth="1"/>
    <col min="8716" max="8716" width="11.42578125" style="202"/>
    <col min="8717" max="8718" width="12" style="202" bestFit="1" customWidth="1"/>
    <col min="8719" max="8968" width="11.42578125" style="202"/>
    <col min="8969" max="8969" width="5.85546875" style="202" bestFit="1" customWidth="1"/>
    <col min="8970" max="8970" width="11.42578125" style="202"/>
    <col min="8971" max="8971" width="24.7109375" style="202" customWidth="1"/>
    <col min="8972" max="8972" width="11.42578125" style="202"/>
    <col min="8973" max="8974" width="12" style="202" bestFit="1" customWidth="1"/>
    <col min="8975" max="9224" width="11.42578125" style="202"/>
    <col min="9225" max="9225" width="5.85546875" style="202" bestFit="1" customWidth="1"/>
    <col min="9226" max="9226" width="11.42578125" style="202"/>
    <col min="9227" max="9227" width="24.7109375" style="202" customWidth="1"/>
    <col min="9228" max="9228" width="11.42578125" style="202"/>
    <col min="9229" max="9230" width="12" style="202" bestFit="1" customWidth="1"/>
    <col min="9231" max="9480" width="11.42578125" style="202"/>
    <col min="9481" max="9481" width="5.85546875" style="202" bestFit="1" customWidth="1"/>
    <col min="9482" max="9482" width="11.42578125" style="202"/>
    <col min="9483" max="9483" width="24.7109375" style="202" customWidth="1"/>
    <col min="9484" max="9484" width="11.42578125" style="202"/>
    <col min="9485" max="9486" width="12" style="202" bestFit="1" customWidth="1"/>
    <col min="9487" max="9736" width="11.42578125" style="202"/>
    <col min="9737" max="9737" width="5.85546875" style="202" bestFit="1" customWidth="1"/>
    <col min="9738" max="9738" width="11.42578125" style="202"/>
    <col min="9739" max="9739" width="24.7109375" style="202" customWidth="1"/>
    <col min="9740" max="9740" width="11.42578125" style="202"/>
    <col min="9741" max="9742" width="12" style="202" bestFit="1" customWidth="1"/>
    <col min="9743" max="9992" width="11.42578125" style="202"/>
    <col min="9993" max="9993" width="5.85546875" style="202" bestFit="1" customWidth="1"/>
    <col min="9994" max="9994" width="11.42578125" style="202"/>
    <col min="9995" max="9995" width="24.7109375" style="202" customWidth="1"/>
    <col min="9996" max="9996" width="11.42578125" style="202"/>
    <col min="9997" max="9998" width="12" style="202" bestFit="1" customWidth="1"/>
    <col min="9999" max="10248" width="11.42578125" style="202"/>
    <col min="10249" max="10249" width="5.85546875" style="202" bestFit="1" customWidth="1"/>
    <col min="10250" max="10250" width="11.42578125" style="202"/>
    <col min="10251" max="10251" width="24.7109375" style="202" customWidth="1"/>
    <col min="10252" max="10252" width="11.42578125" style="202"/>
    <col min="10253" max="10254" width="12" style="202" bestFit="1" customWidth="1"/>
    <col min="10255" max="10504" width="11.42578125" style="202"/>
    <col min="10505" max="10505" width="5.85546875" style="202" bestFit="1" customWidth="1"/>
    <col min="10506" max="10506" width="11.42578125" style="202"/>
    <col min="10507" max="10507" width="24.7109375" style="202" customWidth="1"/>
    <col min="10508" max="10508" width="11.42578125" style="202"/>
    <col min="10509" max="10510" width="12" style="202" bestFit="1" customWidth="1"/>
    <col min="10511" max="10760" width="11.42578125" style="202"/>
    <col min="10761" max="10761" width="5.85546875" style="202" bestFit="1" customWidth="1"/>
    <col min="10762" max="10762" width="11.42578125" style="202"/>
    <col min="10763" max="10763" width="24.7109375" style="202" customWidth="1"/>
    <col min="10764" max="10764" width="11.42578125" style="202"/>
    <col min="10765" max="10766" width="12" style="202" bestFit="1" customWidth="1"/>
    <col min="10767" max="11016" width="11.42578125" style="202"/>
    <col min="11017" max="11017" width="5.85546875" style="202" bestFit="1" customWidth="1"/>
    <col min="11018" max="11018" width="11.42578125" style="202"/>
    <col min="11019" max="11019" width="24.7109375" style="202" customWidth="1"/>
    <col min="11020" max="11020" width="11.42578125" style="202"/>
    <col min="11021" max="11022" width="12" style="202" bestFit="1" customWidth="1"/>
    <col min="11023" max="11272" width="11.42578125" style="202"/>
    <col min="11273" max="11273" width="5.85546875" style="202" bestFit="1" customWidth="1"/>
    <col min="11274" max="11274" width="11.42578125" style="202"/>
    <col min="11275" max="11275" width="24.7109375" style="202" customWidth="1"/>
    <col min="11276" max="11276" width="11.42578125" style="202"/>
    <col min="11277" max="11278" width="12" style="202" bestFit="1" customWidth="1"/>
    <col min="11279" max="11528" width="11.42578125" style="202"/>
    <col min="11529" max="11529" width="5.85546875" style="202" bestFit="1" customWidth="1"/>
    <col min="11530" max="11530" width="11.42578125" style="202"/>
    <col min="11531" max="11531" width="24.7109375" style="202" customWidth="1"/>
    <col min="11532" max="11532" width="11.42578125" style="202"/>
    <col min="11533" max="11534" width="12" style="202" bestFit="1" customWidth="1"/>
    <col min="11535" max="11784" width="11.42578125" style="202"/>
    <col min="11785" max="11785" width="5.85546875" style="202" bestFit="1" customWidth="1"/>
    <col min="11786" max="11786" width="11.42578125" style="202"/>
    <col min="11787" max="11787" width="24.7109375" style="202" customWidth="1"/>
    <col min="11788" max="11788" width="11.42578125" style="202"/>
    <col min="11789" max="11790" width="12" style="202" bestFit="1" customWidth="1"/>
    <col min="11791" max="12040" width="11.42578125" style="202"/>
    <col min="12041" max="12041" width="5.85546875" style="202" bestFit="1" customWidth="1"/>
    <col min="12042" max="12042" width="11.42578125" style="202"/>
    <col min="12043" max="12043" width="24.7109375" style="202" customWidth="1"/>
    <col min="12044" max="12044" width="11.42578125" style="202"/>
    <col min="12045" max="12046" width="12" style="202" bestFit="1" customWidth="1"/>
    <col min="12047" max="12296" width="11.42578125" style="202"/>
    <col min="12297" max="12297" width="5.85546875" style="202" bestFit="1" customWidth="1"/>
    <col min="12298" max="12298" width="11.42578125" style="202"/>
    <col min="12299" max="12299" width="24.7109375" style="202" customWidth="1"/>
    <col min="12300" max="12300" width="11.42578125" style="202"/>
    <col min="12301" max="12302" width="12" style="202" bestFit="1" customWidth="1"/>
    <col min="12303" max="12552" width="11.42578125" style="202"/>
    <col min="12553" max="12553" width="5.85546875" style="202" bestFit="1" customWidth="1"/>
    <col min="12554" max="12554" width="11.42578125" style="202"/>
    <col min="12555" max="12555" width="24.7109375" style="202" customWidth="1"/>
    <col min="12556" max="12556" width="11.42578125" style="202"/>
    <col min="12557" max="12558" width="12" style="202" bestFit="1" customWidth="1"/>
    <col min="12559" max="12808" width="11.42578125" style="202"/>
    <col min="12809" max="12809" width="5.85546875" style="202" bestFit="1" customWidth="1"/>
    <col min="12810" max="12810" width="11.42578125" style="202"/>
    <col min="12811" max="12811" width="24.7109375" style="202" customWidth="1"/>
    <col min="12812" max="12812" width="11.42578125" style="202"/>
    <col min="12813" max="12814" width="12" style="202" bestFit="1" customWidth="1"/>
    <col min="12815" max="13064" width="11.42578125" style="202"/>
    <col min="13065" max="13065" width="5.85546875" style="202" bestFit="1" customWidth="1"/>
    <col min="13066" max="13066" width="11.42578125" style="202"/>
    <col min="13067" max="13067" width="24.7109375" style="202" customWidth="1"/>
    <col min="13068" max="13068" width="11.42578125" style="202"/>
    <col min="13069" max="13070" width="12" style="202" bestFit="1" customWidth="1"/>
    <col min="13071" max="13320" width="11.42578125" style="202"/>
    <col min="13321" max="13321" width="5.85546875" style="202" bestFit="1" customWidth="1"/>
    <col min="13322" max="13322" width="11.42578125" style="202"/>
    <col min="13323" max="13323" width="24.7109375" style="202" customWidth="1"/>
    <col min="13324" max="13324" width="11.42578125" style="202"/>
    <col min="13325" max="13326" width="12" style="202" bestFit="1" customWidth="1"/>
    <col min="13327" max="13576" width="11.42578125" style="202"/>
    <col min="13577" max="13577" width="5.85546875" style="202" bestFit="1" customWidth="1"/>
    <col min="13578" max="13578" width="11.42578125" style="202"/>
    <col min="13579" max="13579" width="24.7109375" style="202" customWidth="1"/>
    <col min="13580" max="13580" width="11.42578125" style="202"/>
    <col min="13581" max="13582" width="12" style="202" bestFit="1" customWidth="1"/>
    <col min="13583" max="13832" width="11.42578125" style="202"/>
    <col min="13833" max="13833" width="5.85546875" style="202" bestFit="1" customWidth="1"/>
    <col min="13834" max="13834" width="11.42578125" style="202"/>
    <col min="13835" max="13835" width="24.7109375" style="202" customWidth="1"/>
    <col min="13836" max="13836" width="11.42578125" style="202"/>
    <col min="13837" max="13838" width="12" style="202" bestFit="1" customWidth="1"/>
    <col min="13839" max="14088" width="11.42578125" style="202"/>
    <col min="14089" max="14089" width="5.85546875" style="202" bestFit="1" customWidth="1"/>
    <col min="14090" max="14090" width="11.42578125" style="202"/>
    <col min="14091" max="14091" width="24.7109375" style="202" customWidth="1"/>
    <col min="14092" max="14092" width="11.42578125" style="202"/>
    <col min="14093" max="14094" width="12" style="202" bestFit="1" customWidth="1"/>
    <col min="14095" max="14344" width="11.42578125" style="202"/>
    <col min="14345" max="14345" width="5.85546875" style="202" bestFit="1" customWidth="1"/>
    <col min="14346" max="14346" width="11.42578125" style="202"/>
    <col min="14347" max="14347" width="24.7109375" style="202" customWidth="1"/>
    <col min="14348" max="14348" width="11.42578125" style="202"/>
    <col min="14349" max="14350" width="12" style="202" bestFit="1" customWidth="1"/>
    <col min="14351" max="14600" width="11.42578125" style="202"/>
    <col min="14601" max="14601" width="5.85546875" style="202" bestFit="1" customWidth="1"/>
    <col min="14602" max="14602" width="11.42578125" style="202"/>
    <col min="14603" max="14603" width="24.7109375" style="202" customWidth="1"/>
    <col min="14604" max="14604" width="11.42578125" style="202"/>
    <col min="14605" max="14606" width="12" style="202" bestFit="1" customWidth="1"/>
    <col min="14607" max="14856" width="11.42578125" style="202"/>
    <col min="14857" max="14857" width="5.85546875" style="202" bestFit="1" customWidth="1"/>
    <col min="14858" max="14858" width="11.42578125" style="202"/>
    <col min="14859" max="14859" width="24.7109375" style="202" customWidth="1"/>
    <col min="14860" max="14860" width="11.42578125" style="202"/>
    <col min="14861" max="14862" width="12" style="202" bestFit="1" customWidth="1"/>
    <col min="14863" max="15112" width="11.42578125" style="202"/>
    <col min="15113" max="15113" width="5.85546875" style="202" bestFit="1" customWidth="1"/>
    <col min="15114" max="15114" width="11.42578125" style="202"/>
    <col min="15115" max="15115" width="24.7109375" style="202" customWidth="1"/>
    <col min="15116" max="15116" width="11.42578125" style="202"/>
    <col min="15117" max="15118" width="12" style="202" bestFit="1" customWidth="1"/>
    <col min="15119" max="15368" width="11.42578125" style="202"/>
    <col min="15369" max="15369" width="5.85546875" style="202" bestFit="1" customWidth="1"/>
    <col min="15370" max="15370" width="11.42578125" style="202"/>
    <col min="15371" max="15371" width="24.7109375" style="202" customWidth="1"/>
    <col min="15372" max="15372" width="11.42578125" style="202"/>
    <col min="15373" max="15374" width="12" style="202" bestFit="1" customWidth="1"/>
    <col min="15375" max="15624" width="11.42578125" style="202"/>
    <col min="15625" max="15625" width="5.85546875" style="202" bestFit="1" customWidth="1"/>
    <col min="15626" max="15626" width="11.42578125" style="202"/>
    <col min="15627" max="15627" width="24.7109375" style="202" customWidth="1"/>
    <col min="15628" max="15628" width="11.42578125" style="202"/>
    <col min="15629" max="15630" width="12" style="202" bestFit="1" customWidth="1"/>
    <col min="15631" max="15880" width="11.42578125" style="202"/>
    <col min="15881" max="15881" width="5.85546875" style="202" bestFit="1" customWidth="1"/>
    <col min="15882" max="15882" width="11.42578125" style="202"/>
    <col min="15883" max="15883" width="24.7109375" style="202" customWidth="1"/>
    <col min="15884" max="15884" width="11.42578125" style="202"/>
    <col min="15885" max="15886" width="12" style="202" bestFit="1" customWidth="1"/>
    <col min="15887" max="16136" width="11.42578125" style="202"/>
    <col min="16137" max="16137" width="5.85546875" style="202" bestFit="1" customWidth="1"/>
    <col min="16138" max="16138" width="11.42578125" style="202"/>
    <col min="16139" max="16139" width="24.7109375" style="202" customWidth="1"/>
    <col min="16140" max="16140" width="11.42578125" style="202"/>
    <col min="16141" max="16142" width="12" style="202" bestFit="1" customWidth="1"/>
    <col min="16143" max="16384" width="11.42578125" style="202"/>
  </cols>
  <sheetData>
    <row r="2" spans="2:16" x14ac:dyDescent="0.25">
      <c r="K2" s="335" t="s">
        <v>712</v>
      </c>
    </row>
    <row r="3" spans="2:16" ht="15.75" thickBot="1" x14ac:dyDescent="0.3">
      <c r="B3" s="202" t="s">
        <v>712</v>
      </c>
      <c r="H3" s="336"/>
      <c r="I3" s="336"/>
    </row>
    <row r="4" spans="2:16" x14ac:dyDescent="0.25">
      <c r="C4" s="348" t="s">
        <v>143</v>
      </c>
      <c r="D4" s="349">
        <v>39600</v>
      </c>
      <c r="E4" s="349">
        <f>+D4+31</f>
        <v>39631</v>
      </c>
      <c r="F4" s="349">
        <f>+E4+31</f>
        <v>39662</v>
      </c>
      <c r="G4" s="349">
        <f>+F4+31</f>
        <v>39693</v>
      </c>
      <c r="H4" s="336" t="s">
        <v>84</v>
      </c>
      <c r="I4" s="336" t="s">
        <v>144</v>
      </c>
      <c r="K4" s="203" t="s">
        <v>146</v>
      </c>
      <c r="L4" s="204"/>
      <c r="M4" s="204"/>
      <c r="N4" s="204"/>
      <c r="O4" s="204"/>
      <c r="P4" s="205"/>
    </row>
    <row r="5" spans="2:16" x14ac:dyDescent="0.25">
      <c r="C5" s="336" t="s">
        <v>145</v>
      </c>
      <c r="K5" s="211"/>
      <c r="L5" s="207"/>
      <c r="M5" s="207"/>
      <c r="N5" s="207"/>
      <c r="O5" s="207"/>
      <c r="P5" s="228"/>
    </row>
    <row r="6" spans="2:16" x14ac:dyDescent="0.25">
      <c r="B6" s="202" t="s">
        <v>147</v>
      </c>
      <c r="C6" s="231">
        <v>15300</v>
      </c>
      <c r="D6" s="231"/>
      <c r="E6" s="231"/>
      <c r="F6" s="231"/>
      <c r="G6" s="231"/>
      <c r="H6" s="231"/>
      <c r="I6" s="350"/>
      <c r="K6" s="211"/>
      <c r="L6" s="340">
        <v>39600</v>
      </c>
      <c r="M6" s="340">
        <f>+L6+31</f>
        <v>39631</v>
      </c>
      <c r="N6" s="340">
        <f>+M6+31</f>
        <v>39662</v>
      </c>
      <c r="O6" s="340">
        <f>+N6+31</f>
        <v>39693</v>
      </c>
      <c r="P6" s="228"/>
    </row>
    <row r="7" spans="2:16" x14ac:dyDescent="0.25">
      <c r="B7" s="202" t="s">
        <v>148</v>
      </c>
      <c r="C7" s="231"/>
      <c r="D7" s="231"/>
      <c r="E7" s="231"/>
      <c r="F7" s="231"/>
      <c r="G7" s="231"/>
      <c r="H7" s="231"/>
      <c r="I7" s="350"/>
      <c r="K7" s="211"/>
      <c r="L7" s="340" t="s">
        <v>150</v>
      </c>
      <c r="M7" s="343" t="s">
        <v>151</v>
      </c>
      <c r="N7" s="343" t="s">
        <v>151</v>
      </c>
      <c r="O7" s="343" t="s">
        <v>151</v>
      </c>
      <c r="P7" s="228"/>
    </row>
    <row r="8" spans="2:16" x14ac:dyDescent="0.25">
      <c r="B8" s="352" t="s">
        <v>149</v>
      </c>
      <c r="C8" s="353"/>
      <c r="D8" s="353"/>
      <c r="E8" s="353"/>
      <c r="F8" s="353"/>
      <c r="G8" s="353"/>
      <c r="H8" s="353"/>
      <c r="I8" s="350"/>
      <c r="K8" s="211"/>
      <c r="L8" s="207"/>
      <c r="M8" s="338" t="s">
        <v>153</v>
      </c>
      <c r="N8" s="338" t="s">
        <v>153</v>
      </c>
      <c r="O8" s="338" t="s">
        <v>153</v>
      </c>
      <c r="P8" s="344" t="s">
        <v>84</v>
      </c>
    </row>
    <row r="9" spans="2:16" x14ac:dyDescent="0.25">
      <c r="B9" s="202" t="s">
        <v>152</v>
      </c>
      <c r="C9" s="231"/>
      <c r="D9" s="231">
        <v>6100</v>
      </c>
      <c r="E9" s="231"/>
      <c r="F9" s="231"/>
      <c r="G9" s="231"/>
      <c r="H9" s="231">
        <f>SUM(D9:G9)</f>
        <v>6100</v>
      </c>
      <c r="K9" s="211"/>
      <c r="L9" s="207"/>
      <c r="M9" s="340" t="s">
        <v>150</v>
      </c>
      <c r="N9" s="340" t="s">
        <v>150</v>
      </c>
      <c r="O9" s="340" t="s">
        <v>150</v>
      </c>
      <c r="P9" s="228"/>
    </row>
    <row r="10" spans="2:16" x14ac:dyDescent="0.25">
      <c r="B10" s="202" t="s">
        <v>155</v>
      </c>
      <c r="C10" s="231"/>
      <c r="D10" s="231">
        <v>1050</v>
      </c>
      <c r="E10" s="231">
        <v>1050</v>
      </c>
      <c r="F10" s="231">
        <v>1000</v>
      </c>
      <c r="G10" s="231">
        <v>1000</v>
      </c>
      <c r="H10" s="231">
        <f>SUM(D10:G10)</f>
        <v>4100</v>
      </c>
      <c r="K10" s="211" t="s">
        <v>147</v>
      </c>
      <c r="L10" s="213">
        <f>+(D18+D30)/2</f>
        <v>15000</v>
      </c>
      <c r="M10" s="213">
        <f>+(E18+E30)/2</f>
        <v>15000</v>
      </c>
      <c r="N10" s="213">
        <f>+(F18+F30)/2</f>
        <v>2950</v>
      </c>
      <c r="O10" s="213">
        <f>+(G18+G30)/2</f>
        <v>15300</v>
      </c>
      <c r="P10" s="214">
        <f>SUM(L10:O10)</f>
        <v>48250</v>
      </c>
    </row>
    <row r="11" spans="2:16" x14ac:dyDescent="0.25">
      <c r="B11" s="202" t="s">
        <v>713</v>
      </c>
      <c r="C11" s="231"/>
      <c r="D11" s="231">
        <v>700</v>
      </c>
      <c r="E11" s="231">
        <v>700</v>
      </c>
      <c r="F11" s="231">
        <v>700</v>
      </c>
      <c r="G11" s="231">
        <v>700</v>
      </c>
      <c r="H11" s="231">
        <f>SUM(D11:G11)</f>
        <v>2800</v>
      </c>
      <c r="K11" s="211" t="s">
        <v>148</v>
      </c>
      <c r="L11" s="213">
        <f>+L10*$I$19</f>
        <v>5143.7371663244348</v>
      </c>
      <c r="M11" s="213">
        <f>+M10*$I$19</f>
        <v>5143.7371663244348</v>
      </c>
      <c r="N11" s="213">
        <f>+N10*$I$19</f>
        <v>1011.6016427104722</v>
      </c>
      <c r="O11" s="213">
        <f>+O10*$I$19</f>
        <v>5246.6119096509237</v>
      </c>
      <c r="P11" s="214">
        <f>SUM(L11:O11)</f>
        <v>16545.687885010266</v>
      </c>
    </row>
    <row r="12" spans="2:16" x14ac:dyDescent="0.25">
      <c r="B12" s="354" t="s">
        <v>157</v>
      </c>
      <c r="C12" s="231"/>
      <c r="D12" s="355">
        <f>SUM(D8:D11)</f>
        <v>7850</v>
      </c>
      <c r="E12" s="355">
        <f>SUM(E8:E11)</f>
        <v>1750</v>
      </c>
      <c r="F12" s="355">
        <f>SUM(F8:F11)</f>
        <v>1700</v>
      </c>
      <c r="G12" s="355">
        <f>SUM(G8:G11)</f>
        <v>1700</v>
      </c>
      <c r="H12" s="355">
        <f>SUM(H8:H11)</f>
        <v>13000</v>
      </c>
      <c r="K12" s="341" t="s">
        <v>149</v>
      </c>
      <c r="L12" s="342">
        <f>+L10-L11</f>
        <v>9856.2628336755661</v>
      </c>
      <c r="M12" s="342">
        <f>+M10-M11</f>
        <v>9856.2628336755661</v>
      </c>
      <c r="N12" s="342">
        <f>+N10-N11</f>
        <v>1938.3983572895277</v>
      </c>
      <c r="O12" s="342">
        <f>+O10-O11</f>
        <v>10053.388090349075</v>
      </c>
      <c r="P12" s="345">
        <f>SUM(L12:O12)</f>
        <v>31704.312114989734</v>
      </c>
    </row>
    <row r="13" spans="2:16" x14ac:dyDescent="0.25">
      <c r="B13" s="352" t="s">
        <v>158</v>
      </c>
      <c r="C13" s="353"/>
      <c r="D13" s="353">
        <f>+D8-D9-D10-D11</f>
        <v>-7850</v>
      </c>
      <c r="E13" s="353">
        <f>+E8-E9-E10-E11</f>
        <v>-1750</v>
      </c>
      <c r="F13" s="353">
        <f>+F8-F9-F10-F11</f>
        <v>-1700</v>
      </c>
      <c r="G13" s="353">
        <f>+G8-G9-G10-G11</f>
        <v>-1700</v>
      </c>
      <c r="H13" s="353">
        <f>SUM(D13:G13)</f>
        <v>-13000</v>
      </c>
      <c r="K13" s="211" t="s">
        <v>152</v>
      </c>
      <c r="L13" s="213"/>
      <c r="M13" s="213"/>
      <c r="N13" s="213"/>
      <c r="O13" s="213"/>
      <c r="P13" s="228"/>
    </row>
    <row r="14" spans="2:16" x14ac:dyDescent="0.25">
      <c r="C14" s="231"/>
      <c r="D14" s="231"/>
      <c r="E14" s="231"/>
      <c r="F14" s="231"/>
      <c r="G14" s="231"/>
      <c r="K14" s="211" t="s">
        <v>155</v>
      </c>
      <c r="L14" s="213"/>
      <c r="M14" s="213"/>
      <c r="N14" s="213"/>
      <c r="O14" s="213"/>
      <c r="P14" s="228"/>
    </row>
    <row r="15" spans="2:16" x14ac:dyDescent="0.25">
      <c r="K15" s="211" t="s">
        <v>156</v>
      </c>
      <c r="L15" s="213"/>
      <c r="M15" s="213"/>
      <c r="N15" s="213"/>
      <c r="O15" s="213"/>
      <c r="P15" s="228"/>
    </row>
    <row r="16" spans="2:16" x14ac:dyDescent="0.25">
      <c r="C16" s="348" t="s">
        <v>143</v>
      </c>
      <c r="D16" s="349">
        <v>39234</v>
      </c>
      <c r="E16" s="349">
        <f>+D16+31</f>
        <v>39265</v>
      </c>
      <c r="F16" s="349">
        <f>+E16+31</f>
        <v>39296</v>
      </c>
      <c r="G16" s="349">
        <f>+F16+31</f>
        <v>39327</v>
      </c>
      <c r="H16" s="336" t="s">
        <v>84</v>
      </c>
      <c r="I16" s="336" t="s">
        <v>144</v>
      </c>
      <c r="K16" s="341" t="s">
        <v>158</v>
      </c>
      <c r="L16" s="342"/>
      <c r="M16" s="342">
        <f>+M12-M13-M14-M15</f>
        <v>9856.2628336755661</v>
      </c>
      <c r="N16" s="342">
        <f>+N12-N13-N14-N15</f>
        <v>1938.3983572895277</v>
      </c>
      <c r="O16" s="342">
        <f>+O12-O13-O14-O15</f>
        <v>10053.388090349075</v>
      </c>
      <c r="P16" s="345">
        <f>+P12-P13-P14-P15</f>
        <v>31704.312114989734</v>
      </c>
    </row>
    <row r="17" spans="2:16" x14ac:dyDescent="0.25">
      <c r="C17" s="336" t="s">
        <v>145</v>
      </c>
      <c r="K17" s="211"/>
      <c r="L17" s="207"/>
      <c r="M17" s="207"/>
      <c r="N17" s="207"/>
      <c r="O17" s="207"/>
      <c r="P17" s="228"/>
    </row>
    <row r="18" spans="2:16" x14ac:dyDescent="0.25">
      <c r="B18" s="202" t="s">
        <v>147</v>
      </c>
      <c r="C18" s="231">
        <v>15000</v>
      </c>
      <c r="D18" s="231">
        <v>15200</v>
      </c>
      <c r="E18" s="231">
        <v>15100</v>
      </c>
      <c r="F18" s="231">
        <v>3000</v>
      </c>
      <c r="G18" s="231">
        <v>15400</v>
      </c>
      <c r="H18" s="231">
        <f t="shared" ref="H18:H23" si="0">SUM(D18:G18)</f>
        <v>48700</v>
      </c>
      <c r="I18" s="350">
        <f>+H18/$H$18</f>
        <v>1</v>
      </c>
      <c r="K18" s="211"/>
      <c r="L18" s="207"/>
      <c r="M18" s="207"/>
      <c r="N18" s="207"/>
      <c r="O18" s="207"/>
      <c r="P18" s="228"/>
    </row>
    <row r="19" spans="2:16" ht="15.75" thickBot="1" x14ac:dyDescent="0.3">
      <c r="B19" s="202" t="s">
        <v>148</v>
      </c>
      <c r="C19" s="231"/>
      <c r="D19" s="231">
        <v>5200</v>
      </c>
      <c r="E19" s="231">
        <v>5100</v>
      </c>
      <c r="F19" s="231">
        <v>1000</v>
      </c>
      <c r="G19" s="231">
        <v>5400</v>
      </c>
      <c r="H19" s="231">
        <f t="shared" si="0"/>
        <v>16700</v>
      </c>
      <c r="I19" s="350">
        <f>+H19/$H$18</f>
        <v>0.34291581108829566</v>
      </c>
      <c r="K19" s="221"/>
      <c r="L19" s="222"/>
      <c r="M19" s="222"/>
      <c r="N19" s="222"/>
      <c r="O19" s="222"/>
      <c r="P19" s="337"/>
    </row>
    <row r="20" spans="2:16" x14ac:dyDescent="0.25">
      <c r="B20" s="352" t="s">
        <v>149</v>
      </c>
      <c r="C20" s="353"/>
      <c r="D20" s="353">
        <f>+D18-D19</f>
        <v>10000</v>
      </c>
      <c r="E20" s="353">
        <f>+E18-E19</f>
        <v>10000</v>
      </c>
      <c r="F20" s="353">
        <f>+F18-F19</f>
        <v>2000</v>
      </c>
      <c r="G20" s="353">
        <f>+G18-G19</f>
        <v>10000</v>
      </c>
      <c r="H20" s="353">
        <f t="shared" si="0"/>
        <v>32000</v>
      </c>
      <c r="I20" s="350">
        <f>+H20/$H$18</f>
        <v>0.65708418891170428</v>
      </c>
      <c r="K20" s="394" t="s">
        <v>714</v>
      </c>
      <c r="L20" s="395"/>
      <c r="M20" s="395"/>
      <c r="N20" s="395"/>
      <c r="O20" s="395"/>
      <c r="P20" s="396"/>
    </row>
    <row r="21" spans="2:16" x14ac:dyDescent="0.25">
      <c r="B21" s="202" t="s">
        <v>152</v>
      </c>
      <c r="C21" s="231"/>
      <c r="D21" s="231">
        <v>6000</v>
      </c>
      <c r="E21" s="231">
        <v>6000</v>
      </c>
      <c r="F21" s="231">
        <v>6000</v>
      </c>
      <c r="G21" s="231">
        <v>6000</v>
      </c>
      <c r="H21" s="231">
        <f t="shared" si="0"/>
        <v>24000</v>
      </c>
      <c r="K21" s="346"/>
      <c r="L21" s="286"/>
      <c r="M21" s="286"/>
      <c r="N21" s="286"/>
      <c r="O21" s="286"/>
      <c r="P21" s="287"/>
    </row>
    <row r="22" spans="2:16" x14ac:dyDescent="0.25">
      <c r="B22" s="202" t="s">
        <v>155</v>
      </c>
      <c r="C22" s="231"/>
      <c r="D22" s="231">
        <v>1000</v>
      </c>
      <c r="E22" s="231">
        <v>1000</v>
      </c>
      <c r="F22" s="231">
        <v>1000</v>
      </c>
      <c r="G22" s="231">
        <v>1000</v>
      </c>
      <c r="H22" s="231">
        <f t="shared" si="0"/>
        <v>4000</v>
      </c>
      <c r="K22" s="347"/>
      <c r="L22" s="213"/>
      <c r="M22" s="213"/>
      <c r="N22" s="213"/>
      <c r="O22" s="213"/>
      <c r="P22" s="228"/>
    </row>
    <row r="23" spans="2:16" x14ac:dyDescent="0.25">
      <c r="B23" s="202" t="s">
        <v>713</v>
      </c>
      <c r="C23" s="231"/>
      <c r="D23" s="231">
        <v>700</v>
      </c>
      <c r="E23" s="231">
        <v>700</v>
      </c>
      <c r="F23" s="231">
        <v>700</v>
      </c>
      <c r="G23" s="231">
        <v>700</v>
      </c>
      <c r="H23" s="231">
        <f t="shared" si="0"/>
        <v>2800</v>
      </c>
      <c r="K23" s="211" t="s">
        <v>152</v>
      </c>
      <c r="L23" s="213"/>
      <c r="M23" s="213">
        <v>-6000</v>
      </c>
      <c r="N23" s="213">
        <v>-6000</v>
      </c>
      <c r="O23" s="213">
        <v>-6000</v>
      </c>
      <c r="P23" s="214">
        <f>SUM(L23:O23)</f>
        <v>-18000</v>
      </c>
    </row>
    <row r="24" spans="2:16" ht="15.75" thickBot="1" x14ac:dyDescent="0.3">
      <c r="B24" s="354" t="s">
        <v>157</v>
      </c>
      <c r="C24" s="231"/>
      <c r="D24" s="355">
        <f>SUM(D21:D23)</f>
        <v>7700</v>
      </c>
      <c r="E24" s="355">
        <f>SUM(E21:E23)</f>
        <v>7700</v>
      </c>
      <c r="F24" s="355">
        <f>SUM(F21:F23)</f>
        <v>7700</v>
      </c>
      <c r="G24" s="355">
        <f>SUM(G21:G23)</f>
        <v>7700</v>
      </c>
      <c r="H24" s="355">
        <f>SUM(H21:H23)</f>
        <v>30800</v>
      </c>
      <c r="K24" s="211"/>
      <c r="L24" s="213"/>
      <c r="M24" s="213"/>
      <c r="N24" s="213"/>
      <c r="O24" s="213"/>
      <c r="P24" s="228"/>
    </row>
    <row r="25" spans="2:16" ht="15.75" thickBot="1" x14ac:dyDescent="0.3">
      <c r="B25" s="352" t="s">
        <v>158</v>
      </c>
      <c r="C25" s="353"/>
      <c r="D25" s="353">
        <f>+D20-D24</f>
        <v>2300</v>
      </c>
      <c r="E25" s="353">
        <f>+E20-E24</f>
        <v>2300</v>
      </c>
      <c r="F25" s="353">
        <f>+F20-F24</f>
        <v>-5700</v>
      </c>
      <c r="G25" s="353">
        <f>+G20-G24</f>
        <v>2300</v>
      </c>
      <c r="H25" s="353">
        <f>+H20-H24</f>
        <v>1200</v>
      </c>
      <c r="K25" s="397" t="s">
        <v>715</v>
      </c>
      <c r="L25" s="398">
        <f>+L16+L23</f>
        <v>0</v>
      </c>
      <c r="M25" s="398">
        <f>+M16+M23</f>
        <v>3856.2628336755661</v>
      </c>
      <c r="N25" s="398">
        <f>+N16+N23</f>
        <v>-4061.6016427104723</v>
      </c>
      <c r="O25" s="398">
        <f>+O16+O23</f>
        <v>4053.3880903490754</v>
      </c>
      <c r="P25" s="399">
        <f>+P16+P23</f>
        <v>13704.312114989734</v>
      </c>
    </row>
    <row r="26" spans="2:16" x14ac:dyDescent="0.25">
      <c r="K26" s="211"/>
      <c r="L26" s="207"/>
      <c r="M26" s="207"/>
      <c r="N26" s="207"/>
      <c r="O26" s="207"/>
      <c r="P26" s="228"/>
    </row>
    <row r="27" spans="2:16" ht="15.75" thickBot="1" x14ac:dyDescent="0.3">
      <c r="K27" s="221"/>
      <c r="L27" s="222"/>
      <c r="M27" s="222"/>
      <c r="N27" s="222"/>
      <c r="O27" s="222"/>
      <c r="P27" s="337"/>
    </row>
    <row r="28" spans="2:16" x14ac:dyDescent="0.25">
      <c r="C28" s="348" t="s">
        <v>143</v>
      </c>
      <c r="D28" s="349">
        <v>38869</v>
      </c>
      <c r="E28" s="349">
        <f>+D28+31</f>
        <v>38900</v>
      </c>
      <c r="F28" s="349">
        <f>+E28+31</f>
        <v>38931</v>
      </c>
      <c r="G28" s="349">
        <f>+F28+31</f>
        <v>38962</v>
      </c>
      <c r="H28" s="336" t="s">
        <v>84</v>
      </c>
      <c r="I28" s="336" t="s">
        <v>144</v>
      </c>
      <c r="K28" s="207"/>
      <c r="L28" s="207"/>
      <c r="M28" s="207"/>
      <c r="N28" s="207"/>
      <c r="O28" s="207"/>
      <c r="P28" s="207"/>
    </row>
    <row r="29" spans="2:16" x14ac:dyDescent="0.25">
      <c r="C29" s="336" t="s">
        <v>145</v>
      </c>
      <c r="K29" s="202" t="s">
        <v>716</v>
      </c>
      <c r="L29" s="207"/>
      <c r="M29" s="207"/>
      <c r="N29" s="207"/>
      <c r="O29" s="207"/>
      <c r="P29" s="207"/>
    </row>
    <row r="30" spans="2:16" ht="15.75" thickBot="1" x14ac:dyDescent="0.3">
      <c r="B30" s="202" t="s">
        <v>147</v>
      </c>
      <c r="C30" s="231">
        <v>14800</v>
      </c>
      <c r="D30" s="231">
        <v>14800</v>
      </c>
      <c r="E30" s="231">
        <v>14900</v>
      </c>
      <c r="F30" s="231">
        <v>2900</v>
      </c>
      <c r="G30" s="231">
        <v>15200</v>
      </c>
      <c r="H30" s="231">
        <f t="shared" ref="H30:H35" si="1">SUM(D30:G30)</f>
        <v>47800</v>
      </c>
      <c r="I30" s="350">
        <f>+H30/$H$30</f>
        <v>1</v>
      </c>
      <c r="K30" s="207"/>
      <c r="L30" s="207"/>
      <c r="M30" s="207"/>
      <c r="N30" s="207"/>
      <c r="O30" s="207"/>
      <c r="P30" s="207"/>
    </row>
    <row r="31" spans="2:16" x14ac:dyDescent="0.25">
      <c r="B31" s="202" t="s">
        <v>148</v>
      </c>
      <c r="C31" s="231"/>
      <c r="D31" s="231">
        <v>5000</v>
      </c>
      <c r="E31" s="231">
        <v>5200</v>
      </c>
      <c r="F31" s="231">
        <v>950</v>
      </c>
      <c r="G31" s="231">
        <v>5250</v>
      </c>
      <c r="H31" s="231">
        <f t="shared" si="1"/>
        <v>16400</v>
      </c>
      <c r="I31" s="351">
        <f>+H31/$H$30</f>
        <v>0.34309623430962344</v>
      </c>
      <c r="K31" s="203"/>
      <c r="L31" s="204"/>
      <c r="M31" s="204"/>
      <c r="N31" s="204"/>
      <c r="O31" s="204"/>
      <c r="P31" s="205"/>
    </row>
    <row r="32" spans="2:16" x14ac:dyDescent="0.25">
      <c r="B32" s="352" t="s">
        <v>149</v>
      </c>
      <c r="C32" s="353"/>
      <c r="D32" s="353">
        <f>+D30-D31</f>
        <v>9800</v>
      </c>
      <c r="E32" s="353">
        <f>+E30-E31</f>
        <v>9700</v>
      </c>
      <c r="F32" s="353">
        <f>+F30-F31</f>
        <v>1950</v>
      </c>
      <c r="G32" s="353">
        <f>+G30-G31</f>
        <v>9950</v>
      </c>
      <c r="H32" s="353">
        <f t="shared" si="1"/>
        <v>31400</v>
      </c>
      <c r="I32" s="350">
        <f>+H32/$H$30</f>
        <v>0.65690376569037656</v>
      </c>
      <c r="K32" s="211" t="s">
        <v>161</v>
      </c>
      <c r="L32" s="207"/>
      <c r="M32" s="207"/>
      <c r="N32" s="207"/>
      <c r="O32" s="207"/>
      <c r="P32" s="228"/>
    </row>
    <row r="33" spans="2:16" ht="15.75" thickBot="1" x14ac:dyDescent="0.3">
      <c r="B33" s="202" t="s">
        <v>152</v>
      </c>
      <c r="C33" s="231"/>
      <c r="D33" s="231">
        <v>5900</v>
      </c>
      <c r="E33" s="231">
        <v>5900</v>
      </c>
      <c r="F33" s="231">
        <v>5900</v>
      </c>
      <c r="G33" s="231">
        <v>5900</v>
      </c>
      <c r="H33" s="231">
        <f t="shared" si="1"/>
        <v>23600</v>
      </c>
      <c r="K33" s="211"/>
      <c r="L33" s="207"/>
      <c r="M33" s="207"/>
      <c r="N33" s="207"/>
      <c r="O33" s="207"/>
      <c r="P33" s="228"/>
    </row>
    <row r="34" spans="2:16" x14ac:dyDescent="0.25">
      <c r="B34" s="202" t="s">
        <v>155</v>
      </c>
      <c r="C34" s="231"/>
      <c r="D34" s="231">
        <v>980</v>
      </c>
      <c r="E34" s="231">
        <v>980</v>
      </c>
      <c r="F34" s="231">
        <v>980</v>
      </c>
      <c r="G34" s="231">
        <v>980</v>
      </c>
      <c r="H34" s="231">
        <f t="shared" si="1"/>
        <v>3920</v>
      </c>
      <c r="K34" s="203"/>
      <c r="L34" s="204"/>
      <c r="M34" s="254">
        <v>2007</v>
      </c>
      <c r="N34" s="256">
        <v>2008</v>
      </c>
      <c r="O34" s="207"/>
      <c r="P34" s="228"/>
    </row>
    <row r="35" spans="2:16" x14ac:dyDescent="0.25">
      <c r="B35" s="202" t="s">
        <v>713</v>
      </c>
      <c r="C35" s="231"/>
      <c r="D35" s="231">
        <v>720</v>
      </c>
      <c r="E35" s="231">
        <v>720</v>
      </c>
      <c r="F35" s="231">
        <v>720</v>
      </c>
      <c r="G35" s="231">
        <v>720</v>
      </c>
      <c r="H35" s="231">
        <f t="shared" si="1"/>
        <v>2880</v>
      </c>
      <c r="K35" s="211" t="s">
        <v>162</v>
      </c>
      <c r="L35" s="207"/>
      <c r="M35" s="213">
        <f>+H24</f>
        <v>30800</v>
      </c>
      <c r="N35" s="214">
        <f>+H12</f>
        <v>13000</v>
      </c>
      <c r="O35" s="207"/>
      <c r="P35" s="228"/>
    </row>
    <row r="36" spans="2:16" x14ac:dyDescent="0.25">
      <c r="B36" s="354" t="s">
        <v>157</v>
      </c>
      <c r="C36" s="231"/>
      <c r="D36" s="355">
        <f>SUM(D33:D35)</f>
        <v>7600</v>
      </c>
      <c r="E36" s="355">
        <f>SUM(E33:E35)</f>
        <v>7600</v>
      </c>
      <c r="F36" s="355">
        <f>SUM(F33:F35)</f>
        <v>7600</v>
      </c>
      <c r="G36" s="355">
        <f>SUM(G33:G35)</f>
        <v>7600</v>
      </c>
      <c r="H36" s="355">
        <f>SUM(H33:H35)</f>
        <v>30400</v>
      </c>
      <c r="K36" s="211" t="s">
        <v>163</v>
      </c>
      <c r="L36" s="207"/>
      <c r="M36" s="207"/>
      <c r="N36" s="214">
        <f>+H13</f>
        <v>-13000</v>
      </c>
      <c r="O36" s="207"/>
      <c r="P36" s="228"/>
    </row>
    <row r="37" spans="2:16" x14ac:dyDescent="0.25">
      <c r="B37" s="352" t="s">
        <v>158</v>
      </c>
      <c r="C37" s="353"/>
      <c r="D37" s="353">
        <f>+D32-D36</f>
        <v>2200</v>
      </c>
      <c r="E37" s="353">
        <f>+E32-E36</f>
        <v>2100</v>
      </c>
      <c r="F37" s="353">
        <f>+F32-F36</f>
        <v>-5650</v>
      </c>
      <c r="G37" s="353">
        <f>+G32-G36</f>
        <v>2350</v>
      </c>
      <c r="H37" s="353">
        <f>+H32-H36</f>
        <v>1000</v>
      </c>
      <c r="K37" s="211" t="s">
        <v>164</v>
      </c>
      <c r="L37" s="207"/>
      <c r="M37" s="207"/>
      <c r="N37" s="214">
        <f>+P25</f>
        <v>13704.312114989734</v>
      </c>
      <c r="O37" s="207"/>
      <c r="P37" s="228"/>
    </row>
    <row r="38" spans="2:16" x14ac:dyDescent="0.25">
      <c r="K38" s="211" t="s">
        <v>165</v>
      </c>
      <c r="L38" s="207"/>
      <c r="M38" s="356">
        <f>+H25</f>
        <v>1200</v>
      </c>
      <c r="N38" s="357">
        <f>+N36+N37</f>
        <v>704.31211498973425</v>
      </c>
      <c r="O38" s="207"/>
      <c r="P38" s="228"/>
    </row>
    <row r="39" spans="2:16" x14ac:dyDescent="0.25">
      <c r="K39" s="211" t="s">
        <v>717</v>
      </c>
      <c r="L39" s="207"/>
      <c r="M39" s="213">
        <f>+M35+M38</f>
        <v>32000</v>
      </c>
      <c r="N39" s="214">
        <f>+N35+N38</f>
        <v>13704.312114989734</v>
      </c>
      <c r="O39" s="207"/>
      <c r="P39" s="228"/>
    </row>
    <row r="40" spans="2:16" x14ac:dyDescent="0.25">
      <c r="K40" s="211" t="s">
        <v>167</v>
      </c>
      <c r="L40" s="207"/>
      <c r="M40" s="360"/>
      <c r="N40" s="361">
        <f>+P25/N39</f>
        <v>1</v>
      </c>
      <c r="O40" s="207"/>
      <c r="P40" s="228"/>
    </row>
    <row r="41" spans="2:16" ht="15.75" thickBot="1" x14ac:dyDescent="0.3">
      <c r="K41" s="270"/>
      <c r="L41" s="362"/>
      <c r="M41" s="363"/>
      <c r="N41" s="364">
        <f>(+N35+N38)*N40</f>
        <v>13704.312114989734</v>
      </c>
      <c r="O41" s="207"/>
      <c r="P41" s="228"/>
    </row>
    <row r="42" spans="2:16" ht="15.75" thickBot="1" x14ac:dyDescent="0.3">
      <c r="K42" s="221"/>
      <c r="L42" s="222"/>
      <c r="M42" s="222"/>
      <c r="N42" s="222"/>
      <c r="O42" s="222"/>
      <c r="P42" s="3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showGridLines="0" workbookViewId="0">
      <selection activeCell="I17" sqref="I17"/>
    </sheetView>
  </sheetViews>
  <sheetFormatPr baseColWidth="10" defaultColWidth="11.42578125" defaultRowHeight="15" x14ac:dyDescent="0.25"/>
  <cols>
    <col min="1" max="1" width="11.42578125" style="202"/>
    <col min="2" max="2" width="22.7109375" style="202" customWidth="1"/>
    <col min="3" max="8" width="11.5703125" style="202" bestFit="1" customWidth="1"/>
    <col min="9" max="10" width="6.7109375" style="202" customWidth="1"/>
    <col min="11" max="11" width="31.42578125" style="202" customWidth="1"/>
    <col min="12" max="13" width="11.5703125" style="202" bestFit="1" customWidth="1"/>
    <col min="14" max="14" width="12.140625" style="202" bestFit="1" customWidth="1"/>
    <col min="15" max="15" width="13.28515625" style="202" bestFit="1" customWidth="1"/>
    <col min="16" max="16" width="11.5703125" style="202" bestFit="1" customWidth="1"/>
    <col min="17" max="17" width="6.7109375" style="202" customWidth="1"/>
    <col min="18" max="18" width="7.7109375" style="202" customWidth="1"/>
    <col min="19" max="257" width="11.42578125" style="202"/>
    <col min="258" max="258" width="22.7109375" style="202" customWidth="1"/>
    <col min="259" max="264" width="11.42578125" style="202"/>
    <col min="265" max="266" width="6.7109375" style="202" customWidth="1"/>
    <col min="267" max="267" width="31.42578125" style="202" customWidth="1"/>
    <col min="268" max="269" width="11.42578125" style="202"/>
    <col min="270" max="271" width="12" style="202" bestFit="1" customWidth="1"/>
    <col min="272" max="272" width="11.42578125" style="202"/>
    <col min="273" max="273" width="6.7109375" style="202" customWidth="1"/>
    <col min="274" max="274" width="7.7109375" style="202" customWidth="1"/>
    <col min="275" max="513" width="11.42578125" style="202"/>
    <col min="514" max="514" width="22.7109375" style="202" customWidth="1"/>
    <col min="515" max="520" width="11.42578125" style="202"/>
    <col min="521" max="522" width="6.7109375" style="202" customWidth="1"/>
    <col min="523" max="523" width="31.42578125" style="202" customWidth="1"/>
    <col min="524" max="525" width="11.42578125" style="202"/>
    <col min="526" max="527" width="12" style="202" bestFit="1" customWidth="1"/>
    <col min="528" max="528" width="11.42578125" style="202"/>
    <col min="529" max="529" width="6.7109375" style="202" customWidth="1"/>
    <col min="530" max="530" width="7.7109375" style="202" customWidth="1"/>
    <col min="531" max="769" width="11.42578125" style="202"/>
    <col min="770" max="770" width="22.7109375" style="202" customWidth="1"/>
    <col min="771" max="776" width="11.42578125" style="202"/>
    <col min="777" max="778" width="6.7109375" style="202" customWidth="1"/>
    <col min="779" max="779" width="31.42578125" style="202" customWidth="1"/>
    <col min="780" max="781" width="11.42578125" style="202"/>
    <col min="782" max="783" width="12" style="202" bestFit="1" customWidth="1"/>
    <col min="784" max="784" width="11.42578125" style="202"/>
    <col min="785" max="785" width="6.7109375" style="202" customWidth="1"/>
    <col min="786" max="786" width="7.7109375" style="202" customWidth="1"/>
    <col min="787" max="1025" width="11.42578125" style="202"/>
    <col min="1026" max="1026" width="22.7109375" style="202" customWidth="1"/>
    <col min="1027" max="1032" width="11.42578125" style="202"/>
    <col min="1033" max="1034" width="6.7109375" style="202" customWidth="1"/>
    <col min="1035" max="1035" width="31.42578125" style="202" customWidth="1"/>
    <col min="1036" max="1037" width="11.42578125" style="202"/>
    <col min="1038" max="1039" width="12" style="202" bestFit="1" customWidth="1"/>
    <col min="1040" max="1040" width="11.42578125" style="202"/>
    <col min="1041" max="1041" width="6.7109375" style="202" customWidth="1"/>
    <col min="1042" max="1042" width="7.7109375" style="202" customWidth="1"/>
    <col min="1043" max="1281" width="11.42578125" style="202"/>
    <col min="1282" max="1282" width="22.7109375" style="202" customWidth="1"/>
    <col min="1283" max="1288" width="11.42578125" style="202"/>
    <col min="1289" max="1290" width="6.7109375" style="202" customWidth="1"/>
    <col min="1291" max="1291" width="31.42578125" style="202" customWidth="1"/>
    <col min="1292" max="1293" width="11.42578125" style="202"/>
    <col min="1294" max="1295" width="12" style="202" bestFit="1" customWidth="1"/>
    <col min="1296" max="1296" width="11.42578125" style="202"/>
    <col min="1297" max="1297" width="6.7109375" style="202" customWidth="1"/>
    <col min="1298" max="1298" width="7.7109375" style="202" customWidth="1"/>
    <col min="1299" max="1537" width="11.42578125" style="202"/>
    <col min="1538" max="1538" width="22.7109375" style="202" customWidth="1"/>
    <col min="1539" max="1544" width="11.42578125" style="202"/>
    <col min="1545" max="1546" width="6.7109375" style="202" customWidth="1"/>
    <col min="1547" max="1547" width="31.42578125" style="202" customWidth="1"/>
    <col min="1548" max="1549" width="11.42578125" style="202"/>
    <col min="1550" max="1551" width="12" style="202" bestFit="1" customWidth="1"/>
    <col min="1552" max="1552" width="11.42578125" style="202"/>
    <col min="1553" max="1553" width="6.7109375" style="202" customWidth="1"/>
    <col min="1554" max="1554" width="7.7109375" style="202" customWidth="1"/>
    <col min="1555" max="1793" width="11.42578125" style="202"/>
    <col min="1794" max="1794" width="22.7109375" style="202" customWidth="1"/>
    <col min="1795" max="1800" width="11.42578125" style="202"/>
    <col min="1801" max="1802" width="6.7109375" style="202" customWidth="1"/>
    <col min="1803" max="1803" width="31.42578125" style="202" customWidth="1"/>
    <col min="1804" max="1805" width="11.42578125" style="202"/>
    <col min="1806" max="1807" width="12" style="202" bestFit="1" customWidth="1"/>
    <col min="1808" max="1808" width="11.42578125" style="202"/>
    <col min="1809" max="1809" width="6.7109375" style="202" customWidth="1"/>
    <col min="1810" max="1810" width="7.7109375" style="202" customWidth="1"/>
    <col min="1811" max="2049" width="11.42578125" style="202"/>
    <col min="2050" max="2050" width="22.7109375" style="202" customWidth="1"/>
    <col min="2051" max="2056" width="11.42578125" style="202"/>
    <col min="2057" max="2058" width="6.7109375" style="202" customWidth="1"/>
    <col min="2059" max="2059" width="31.42578125" style="202" customWidth="1"/>
    <col min="2060" max="2061" width="11.42578125" style="202"/>
    <col min="2062" max="2063" width="12" style="202" bestFit="1" customWidth="1"/>
    <col min="2064" max="2064" width="11.42578125" style="202"/>
    <col min="2065" max="2065" width="6.7109375" style="202" customWidth="1"/>
    <col min="2066" max="2066" width="7.7109375" style="202" customWidth="1"/>
    <col min="2067" max="2305" width="11.42578125" style="202"/>
    <col min="2306" max="2306" width="22.7109375" style="202" customWidth="1"/>
    <col min="2307" max="2312" width="11.42578125" style="202"/>
    <col min="2313" max="2314" width="6.7109375" style="202" customWidth="1"/>
    <col min="2315" max="2315" width="31.42578125" style="202" customWidth="1"/>
    <col min="2316" max="2317" width="11.42578125" style="202"/>
    <col min="2318" max="2319" width="12" style="202" bestFit="1" customWidth="1"/>
    <col min="2320" max="2320" width="11.42578125" style="202"/>
    <col min="2321" max="2321" width="6.7109375" style="202" customWidth="1"/>
    <col min="2322" max="2322" width="7.7109375" style="202" customWidth="1"/>
    <col min="2323" max="2561" width="11.42578125" style="202"/>
    <col min="2562" max="2562" width="22.7109375" style="202" customWidth="1"/>
    <col min="2563" max="2568" width="11.42578125" style="202"/>
    <col min="2569" max="2570" width="6.7109375" style="202" customWidth="1"/>
    <col min="2571" max="2571" width="31.42578125" style="202" customWidth="1"/>
    <col min="2572" max="2573" width="11.42578125" style="202"/>
    <col min="2574" max="2575" width="12" style="202" bestFit="1" customWidth="1"/>
    <col min="2576" max="2576" width="11.42578125" style="202"/>
    <col min="2577" max="2577" width="6.7109375" style="202" customWidth="1"/>
    <col min="2578" max="2578" width="7.7109375" style="202" customWidth="1"/>
    <col min="2579" max="2817" width="11.42578125" style="202"/>
    <col min="2818" max="2818" width="22.7109375" style="202" customWidth="1"/>
    <col min="2819" max="2824" width="11.42578125" style="202"/>
    <col min="2825" max="2826" width="6.7109375" style="202" customWidth="1"/>
    <col min="2827" max="2827" width="31.42578125" style="202" customWidth="1"/>
    <col min="2828" max="2829" width="11.42578125" style="202"/>
    <col min="2830" max="2831" width="12" style="202" bestFit="1" customWidth="1"/>
    <col min="2832" max="2832" width="11.42578125" style="202"/>
    <col min="2833" max="2833" width="6.7109375" style="202" customWidth="1"/>
    <col min="2834" max="2834" width="7.7109375" style="202" customWidth="1"/>
    <col min="2835" max="3073" width="11.42578125" style="202"/>
    <col min="3074" max="3074" width="22.7109375" style="202" customWidth="1"/>
    <col min="3075" max="3080" width="11.42578125" style="202"/>
    <col min="3081" max="3082" width="6.7109375" style="202" customWidth="1"/>
    <col min="3083" max="3083" width="31.42578125" style="202" customWidth="1"/>
    <col min="3084" max="3085" width="11.42578125" style="202"/>
    <col min="3086" max="3087" width="12" style="202" bestFit="1" customWidth="1"/>
    <col min="3088" max="3088" width="11.42578125" style="202"/>
    <col min="3089" max="3089" width="6.7109375" style="202" customWidth="1"/>
    <col min="3090" max="3090" width="7.7109375" style="202" customWidth="1"/>
    <col min="3091" max="3329" width="11.42578125" style="202"/>
    <col min="3330" max="3330" width="22.7109375" style="202" customWidth="1"/>
    <col min="3331" max="3336" width="11.42578125" style="202"/>
    <col min="3337" max="3338" width="6.7109375" style="202" customWidth="1"/>
    <col min="3339" max="3339" width="31.42578125" style="202" customWidth="1"/>
    <col min="3340" max="3341" width="11.42578125" style="202"/>
    <col min="3342" max="3343" width="12" style="202" bestFit="1" customWidth="1"/>
    <col min="3344" max="3344" width="11.42578125" style="202"/>
    <col min="3345" max="3345" width="6.7109375" style="202" customWidth="1"/>
    <col min="3346" max="3346" width="7.7109375" style="202" customWidth="1"/>
    <col min="3347" max="3585" width="11.42578125" style="202"/>
    <col min="3586" max="3586" width="22.7109375" style="202" customWidth="1"/>
    <col min="3587" max="3592" width="11.42578125" style="202"/>
    <col min="3593" max="3594" width="6.7109375" style="202" customWidth="1"/>
    <col min="3595" max="3595" width="31.42578125" style="202" customWidth="1"/>
    <col min="3596" max="3597" width="11.42578125" style="202"/>
    <col min="3598" max="3599" width="12" style="202" bestFit="1" customWidth="1"/>
    <col min="3600" max="3600" width="11.42578125" style="202"/>
    <col min="3601" max="3601" width="6.7109375" style="202" customWidth="1"/>
    <col min="3602" max="3602" width="7.7109375" style="202" customWidth="1"/>
    <col min="3603" max="3841" width="11.42578125" style="202"/>
    <col min="3842" max="3842" width="22.7109375" style="202" customWidth="1"/>
    <col min="3843" max="3848" width="11.42578125" style="202"/>
    <col min="3849" max="3850" width="6.7109375" style="202" customWidth="1"/>
    <col min="3851" max="3851" width="31.42578125" style="202" customWidth="1"/>
    <col min="3852" max="3853" width="11.42578125" style="202"/>
    <col min="3854" max="3855" width="12" style="202" bestFit="1" customWidth="1"/>
    <col min="3856" max="3856" width="11.42578125" style="202"/>
    <col min="3857" max="3857" width="6.7109375" style="202" customWidth="1"/>
    <col min="3858" max="3858" width="7.7109375" style="202" customWidth="1"/>
    <col min="3859" max="4097" width="11.42578125" style="202"/>
    <col min="4098" max="4098" width="22.7109375" style="202" customWidth="1"/>
    <col min="4099" max="4104" width="11.42578125" style="202"/>
    <col min="4105" max="4106" width="6.7109375" style="202" customWidth="1"/>
    <col min="4107" max="4107" width="31.42578125" style="202" customWidth="1"/>
    <col min="4108" max="4109" width="11.42578125" style="202"/>
    <col min="4110" max="4111" width="12" style="202" bestFit="1" customWidth="1"/>
    <col min="4112" max="4112" width="11.42578125" style="202"/>
    <col min="4113" max="4113" width="6.7109375" style="202" customWidth="1"/>
    <col min="4114" max="4114" width="7.7109375" style="202" customWidth="1"/>
    <col min="4115" max="4353" width="11.42578125" style="202"/>
    <col min="4354" max="4354" width="22.7109375" style="202" customWidth="1"/>
    <col min="4355" max="4360" width="11.42578125" style="202"/>
    <col min="4361" max="4362" width="6.7109375" style="202" customWidth="1"/>
    <col min="4363" max="4363" width="31.42578125" style="202" customWidth="1"/>
    <col min="4364" max="4365" width="11.42578125" style="202"/>
    <col min="4366" max="4367" width="12" style="202" bestFit="1" customWidth="1"/>
    <col min="4368" max="4368" width="11.42578125" style="202"/>
    <col min="4369" max="4369" width="6.7109375" style="202" customWidth="1"/>
    <col min="4370" max="4370" width="7.7109375" style="202" customWidth="1"/>
    <col min="4371" max="4609" width="11.42578125" style="202"/>
    <col min="4610" max="4610" width="22.7109375" style="202" customWidth="1"/>
    <col min="4611" max="4616" width="11.42578125" style="202"/>
    <col min="4617" max="4618" width="6.7109375" style="202" customWidth="1"/>
    <col min="4619" max="4619" width="31.42578125" style="202" customWidth="1"/>
    <col min="4620" max="4621" width="11.42578125" style="202"/>
    <col min="4622" max="4623" width="12" style="202" bestFit="1" customWidth="1"/>
    <col min="4624" max="4624" width="11.42578125" style="202"/>
    <col min="4625" max="4625" width="6.7109375" style="202" customWidth="1"/>
    <col min="4626" max="4626" width="7.7109375" style="202" customWidth="1"/>
    <col min="4627" max="4865" width="11.42578125" style="202"/>
    <col min="4866" max="4866" width="22.7109375" style="202" customWidth="1"/>
    <col min="4867" max="4872" width="11.42578125" style="202"/>
    <col min="4873" max="4874" width="6.7109375" style="202" customWidth="1"/>
    <col min="4875" max="4875" width="31.42578125" style="202" customWidth="1"/>
    <col min="4876" max="4877" width="11.42578125" style="202"/>
    <col min="4878" max="4879" width="12" style="202" bestFit="1" customWidth="1"/>
    <col min="4880" max="4880" width="11.42578125" style="202"/>
    <col min="4881" max="4881" width="6.7109375" style="202" customWidth="1"/>
    <col min="4882" max="4882" width="7.7109375" style="202" customWidth="1"/>
    <col min="4883" max="5121" width="11.42578125" style="202"/>
    <col min="5122" max="5122" width="22.7109375" style="202" customWidth="1"/>
    <col min="5123" max="5128" width="11.42578125" style="202"/>
    <col min="5129" max="5130" width="6.7109375" style="202" customWidth="1"/>
    <col min="5131" max="5131" width="31.42578125" style="202" customWidth="1"/>
    <col min="5132" max="5133" width="11.42578125" style="202"/>
    <col min="5134" max="5135" width="12" style="202" bestFit="1" customWidth="1"/>
    <col min="5136" max="5136" width="11.42578125" style="202"/>
    <col min="5137" max="5137" width="6.7109375" style="202" customWidth="1"/>
    <col min="5138" max="5138" width="7.7109375" style="202" customWidth="1"/>
    <col min="5139" max="5377" width="11.42578125" style="202"/>
    <col min="5378" max="5378" width="22.7109375" style="202" customWidth="1"/>
    <col min="5379" max="5384" width="11.42578125" style="202"/>
    <col min="5385" max="5386" width="6.7109375" style="202" customWidth="1"/>
    <col min="5387" max="5387" width="31.42578125" style="202" customWidth="1"/>
    <col min="5388" max="5389" width="11.42578125" style="202"/>
    <col min="5390" max="5391" width="12" style="202" bestFit="1" customWidth="1"/>
    <col min="5392" max="5392" width="11.42578125" style="202"/>
    <col min="5393" max="5393" width="6.7109375" style="202" customWidth="1"/>
    <col min="5394" max="5394" width="7.7109375" style="202" customWidth="1"/>
    <col min="5395" max="5633" width="11.42578125" style="202"/>
    <col min="5634" max="5634" width="22.7109375" style="202" customWidth="1"/>
    <col min="5635" max="5640" width="11.42578125" style="202"/>
    <col min="5641" max="5642" width="6.7109375" style="202" customWidth="1"/>
    <col min="5643" max="5643" width="31.42578125" style="202" customWidth="1"/>
    <col min="5644" max="5645" width="11.42578125" style="202"/>
    <col min="5646" max="5647" width="12" style="202" bestFit="1" customWidth="1"/>
    <col min="5648" max="5648" width="11.42578125" style="202"/>
    <col min="5649" max="5649" width="6.7109375" style="202" customWidth="1"/>
    <col min="5650" max="5650" width="7.7109375" style="202" customWidth="1"/>
    <col min="5651" max="5889" width="11.42578125" style="202"/>
    <col min="5890" max="5890" width="22.7109375" style="202" customWidth="1"/>
    <col min="5891" max="5896" width="11.42578125" style="202"/>
    <col min="5897" max="5898" width="6.7109375" style="202" customWidth="1"/>
    <col min="5899" max="5899" width="31.42578125" style="202" customWidth="1"/>
    <col min="5900" max="5901" width="11.42578125" style="202"/>
    <col min="5902" max="5903" width="12" style="202" bestFit="1" customWidth="1"/>
    <col min="5904" max="5904" width="11.42578125" style="202"/>
    <col min="5905" max="5905" width="6.7109375" style="202" customWidth="1"/>
    <col min="5906" max="5906" width="7.7109375" style="202" customWidth="1"/>
    <col min="5907" max="6145" width="11.42578125" style="202"/>
    <col min="6146" max="6146" width="22.7109375" style="202" customWidth="1"/>
    <col min="6147" max="6152" width="11.42578125" style="202"/>
    <col min="6153" max="6154" width="6.7109375" style="202" customWidth="1"/>
    <col min="6155" max="6155" width="31.42578125" style="202" customWidth="1"/>
    <col min="6156" max="6157" width="11.42578125" style="202"/>
    <col min="6158" max="6159" width="12" style="202" bestFit="1" customWidth="1"/>
    <col min="6160" max="6160" width="11.42578125" style="202"/>
    <col min="6161" max="6161" width="6.7109375" style="202" customWidth="1"/>
    <col min="6162" max="6162" width="7.7109375" style="202" customWidth="1"/>
    <col min="6163" max="6401" width="11.42578125" style="202"/>
    <col min="6402" max="6402" width="22.7109375" style="202" customWidth="1"/>
    <col min="6403" max="6408" width="11.42578125" style="202"/>
    <col min="6409" max="6410" width="6.7109375" style="202" customWidth="1"/>
    <col min="6411" max="6411" width="31.42578125" style="202" customWidth="1"/>
    <col min="6412" max="6413" width="11.42578125" style="202"/>
    <col min="6414" max="6415" width="12" style="202" bestFit="1" customWidth="1"/>
    <col min="6416" max="6416" width="11.42578125" style="202"/>
    <col min="6417" max="6417" width="6.7109375" style="202" customWidth="1"/>
    <col min="6418" max="6418" width="7.7109375" style="202" customWidth="1"/>
    <col min="6419" max="6657" width="11.42578125" style="202"/>
    <col min="6658" max="6658" width="22.7109375" style="202" customWidth="1"/>
    <col min="6659" max="6664" width="11.42578125" style="202"/>
    <col min="6665" max="6666" width="6.7109375" style="202" customWidth="1"/>
    <col min="6667" max="6667" width="31.42578125" style="202" customWidth="1"/>
    <col min="6668" max="6669" width="11.42578125" style="202"/>
    <col min="6670" max="6671" width="12" style="202" bestFit="1" customWidth="1"/>
    <col min="6672" max="6672" width="11.42578125" style="202"/>
    <col min="6673" max="6673" width="6.7109375" style="202" customWidth="1"/>
    <col min="6674" max="6674" width="7.7109375" style="202" customWidth="1"/>
    <col min="6675" max="6913" width="11.42578125" style="202"/>
    <col min="6914" max="6914" width="22.7109375" style="202" customWidth="1"/>
    <col min="6915" max="6920" width="11.42578125" style="202"/>
    <col min="6921" max="6922" width="6.7109375" style="202" customWidth="1"/>
    <col min="6923" max="6923" width="31.42578125" style="202" customWidth="1"/>
    <col min="6924" max="6925" width="11.42578125" style="202"/>
    <col min="6926" max="6927" width="12" style="202" bestFit="1" customWidth="1"/>
    <col min="6928" max="6928" width="11.42578125" style="202"/>
    <col min="6929" max="6929" width="6.7109375" style="202" customWidth="1"/>
    <col min="6930" max="6930" width="7.7109375" style="202" customWidth="1"/>
    <col min="6931" max="7169" width="11.42578125" style="202"/>
    <col min="7170" max="7170" width="22.7109375" style="202" customWidth="1"/>
    <col min="7171" max="7176" width="11.42578125" style="202"/>
    <col min="7177" max="7178" width="6.7109375" style="202" customWidth="1"/>
    <col min="7179" max="7179" width="31.42578125" style="202" customWidth="1"/>
    <col min="7180" max="7181" width="11.42578125" style="202"/>
    <col min="7182" max="7183" width="12" style="202" bestFit="1" customWidth="1"/>
    <col min="7184" max="7184" width="11.42578125" style="202"/>
    <col min="7185" max="7185" width="6.7109375" style="202" customWidth="1"/>
    <col min="7186" max="7186" width="7.7109375" style="202" customWidth="1"/>
    <col min="7187" max="7425" width="11.42578125" style="202"/>
    <col min="7426" max="7426" width="22.7109375" style="202" customWidth="1"/>
    <col min="7427" max="7432" width="11.42578125" style="202"/>
    <col min="7433" max="7434" width="6.7109375" style="202" customWidth="1"/>
    <col min="7435" max="7435" width="31.42578125" style="202" customWidth="1"/>
    <col min="7436" max="7437" width="11.42578125" style="202"/>
    <col min="7438" max="7439" width="12" style="202" bestFit="1" customWidth="1"/>
    <col min="7440" max="7440" width="11.42578125" style="202"/>
    <col min="7441" max="7441" width="6.7109375" style="202" customWidth="1"/>
    <col min="7442" max="7442" width="7.7109375" style="202" customWidth="1"/>
    <col min="7443" max="7681" width="11.42578125" style="202"/>
    <col min="7682" max="7682" width="22.7109375" style="202" customWidth="1"/>
    <col min="7683" max="7688" width="11.42578125" style="202"/>
    <col min="7689" max="7690" width="6.7109375" style="202" customWidth="1"/>
    <col min="7691" max="7691" width="31.42578125" style="202" customWidth="1"/>
    <col min="7692" max="7693" width="11.42578125" style="202"/>
    <col min="7694" max="7695" width="12" style="202" bestFit="1" customWidth="1"/>
    <col min="7696" max="7696" width="11.42578125" style="202"/>
    <col min="7697" max="7697" width="6.7109375" style="202" customWidth="1"/>
    <col min="7698" max="7698" width="7.7109375" style="202" customWidth="1"/>
    <col min="7699" max="7937" width="11.42578125" style="202"/>
    <col min="7938" max="7938" width="22.7109375" style="202" customWidth="1"/>
    <col min="7939" max="7944" width="11.42578125" style="202"/>
    <col min="7945" max="7946" width="6.7109375" style="202" customWidth="1"/>
    <col min="7947" max="7947" width="31.42578125" style="202" customWidth="1"/>
    <col min="7948" max="7949" width="11.42578125" style="202"/>
    <col min="7950" max="7951" width="12" style="202" bestFit="1" customWidth="1"/>
    <col min="7952" max="7952" width="11.42578125" style="202"/>
    <col min="7953" max="7953" width="6.7109375" style="202" customWidth="1"/>
    <col min="7954" max="7954" width="7.7109375" style="202" customWidth="1"/>
    <col min="7955" max="8193" width="11.42578125" style="202"/>
    <col min="8194" max="8194" width="22.7109375" style="202" customWidth="1"/>
    <col min="8195" max="8200" width="11.42578125" style="202"/>
    <col min="8201" max="8202" width="6.7109375" style="202" customWidth="1"/>
    <col min="8203" max="8203" width="31.42578125" style="202" customWidth="1"/>
    <col min="8204" max="8205" width="11.42578125" style="202"/>
    <col min="8206" max="8207" width="12" style="202" bestFit="1" customWidth="1"/>
    <col min="8208" max="8208" width="11.42578125" style="202"/>
    <col min="8209" max="8209" width="6.7109375" style="202" customWidth="1"/>
    <col min="8210" max="8210" width="7.7109375" style="202" customWidth="1"/>
    <col min="8211" max="8449" width="11.42578125" style="202"/>
    <col min="8450" max="8450" width="22.7109375" style="202" customWidth="1"/>
    <col min="8451" max="8456" width="11.42578125" style="202"/>
    <col min="8457" max="8458" width="6.7109375" style="202" customWidth="1"/>
    <col min="8459" max="8459" width="31.42578125" style="202" customWidth="1"/>
    <col min="8460" max="8461" width="11.42578125" style="202"/>
    <col min="8462" max="8463" width="12" style="202" bestFit="1" customWidth="1"/>
    <col min="8464" max="8464" width="11.42578125" style="202"/>
    <col min="8465" max="8465" width="6.7109375" style="202" customWidth="1"/>
    <col min="8466" max="8466" width="7.7109375" style="202" customWidth="1"/>
    <col min="8467" max="8705" width="11.42578125" style="202"/>
    <col min="8706" max="8706" width="22.7109375" style="202" customWidth="1"/>
    <col min="8707" max="8712" width="11.42578125" style="202"/>
    <col min="8713" max="8714" width="6.7109375" style="202" customWidth="1"/>
    <col min="8715" max="8715" width="31.42578125" style="202" customWidth="1"/>
    <col min="8716" max="8717" width="11.42578125" style="202"/>
    <col min="8718" max="8719" width="12" style="202" bestFit="1" customWidth="1"/>
    <col min="8720" max="8720" width="11.42578125" style="202"/>
    <col min="8721" max="8721" width="6.7109375" style="202" customWidth="1"/>
    <col min="8722" max="8722" width="7.7109375" style="202" customWidth="1"/>
    <col min="8723" max="8961" width="11.42578125" style="202"/>
    <col min="8962" max="8962" width="22.7109375" style="202" customWidth="1"/>
    <col min="8963" max="8968" width="11.42578125" style="202"/>
    <col min="8969" max="8970" width="6.7109375" style="202" customWidth="1"/>
    <col min="8971" max="8971" width="31.42578125" style="202" customWidth="1"/>
    <col min="8972" max="8973" width="11.42578125" style="202"/>
    <col min="8974" max="8975" width="12" style="202" bestFit="1" customWidth="1"/>
    <col min="8976" max="8976" width="11.42578125" style="202"/>
    <col min="8977" max="8977" width="6.7109375" style="202" customWidth="1"/>
    <col min="8978" max="8978" width="7.7109375" style="202" customWidth="1"/>
    <col min="8979" max="9217" width="11.42578125" style="202"/>
    <col min="9218" max="9218" width="22.7109375" style="202" customWidth="1"/>
    <col min="9219" max="9224" width="11.42578125" style="202"/>
    <col min="9225" max="9226" width="6.7109375" style="202" customWidth="1"/>
    <col min="9227" max="9227" width="31.42578125" style="202" customWidth="1"/>
    <col min="9228" max="9229" width="11.42578125" style="202"/>
    <col min="9230" max="9231" width="12" style="202" bestFit="1" customWidth="1"/>
    <col min="9232" max="9232" width="11.42578125" style="202"/>
    <col min="9233" max="9233" width="6.7109375" style="202" customWidth="1"/>
    <col min="9234" max="9234" width="7.7109375" style="202" customWidth="1"/>
    <col min="9235" max="9473" width="11.42578125" style="202"/>
    <col min="9474" max="9474" width="22.7109375" style="202" customWidth="1"/>
    <col min="9475" max="9480" width="11.42578125" style="202"/>
    <col min="9481" max="9482" width="6.7109375" style="202" customWidth="1"/>
    <col min="9483" max="9483" width="31.42578125" style="202" customWidth="1"/>
    <col min="9484" max="9485" width="11.42578125" style="202"/>
    <col min="9486" max="9487" width="12" style="202" bestFit="1" customWidth="1"/>
    <col min="9488" max="9488" width="11.42578125" style="202"/>
    <col min="9489" max="9489" width="6.7109375" style="202" customWidth="1"/>
    <col min="9490" max="9490" width="7.7109375" style="202" customWidth="1"/>
    <col min="9491" max="9729" width="11.42578125" style="202"/>
    <col min="9730" max="9730" width="22.7109375" style="202" customWidth="1"/>
    <col min="9731" max="9736" width="11.42578125" style="202"/>
    <col min="9737" max="9738" width="6.7109375" style="202" customWidth="1"/>
    <col min="9739" max="9739" width="31.42578125" style="202" customWidth="1"/>
    <col min="9740" max="9741" width="11.42578125" style="202"/>
    <col min="9742" max="9743" width="12" style="202" bestFit="1" customWidth="1"/>
    <col min="9744" max="9744" width="11.42578125" style="202"/>
    <col min="9745" max="9745" width="6.7109375" style="202" customWidth="1"/>
    <col min="9746" max="9746" width="7.7109375" style="202" customWidth="1"/>
    <col min="9747" max="9985" width="11.42578125" style="202"/>
    <col min="9986" max="9986" width="22.7109375" style="202" customWidth="1"/>
    <col min="9987" max="9992" width="11.42578125" style="202"/>
    <col min="9993" max="9994" width="6.7109375" style="202" customWidth="1"/>
    <col min="9995" max="9995" width="31.42578125" style="202" customWidth="1"/>
    <col min="9996" max="9997" width="11.42578125" style="202"/>
    <col min="9998" max="9999" width="12" style="202" bestFit="1" customWidth="1"/>
    <col min="10000" max="10000" width="11.42578125" style="202"/>
    <col min="10001" max="10001" width="6.7109375" style="202" customWidth="1"/>
    <col min="10002" max="10002" width="7.7109375" style="202" customWidth="1"/>
    <col min="10003" max="10241" width="11.42578125" style="202"/>
    <col min="10242" max="10242" width="22.7109375" style="202" customWidth="1"/>
    <col min="10243" max="10248" width="11.42578125" style="202"/>
    <col min="10249" max="10250" width="6.7109375" style="202" customWidth="1"/>
    <col min="10251" max="10251" width="31.42578125" style="202" customWidth="1"/>
    <col min="10252" max="10253" width="11.42578125" style="202"/>
    <col min="10254" max="10255" width="12" style="202" bestFit="1" customWidth="1"/>
    <col min="10256" max="10256" width="11.42578125" style="202"/>
    <col min="10257" max="10257" width="6.7109375" style="202" customWidth="1"/>
    <col min="10258" max="10258" width="7.7109375" style="202" customWidth="1"/>
    <col min="10259" max="10497" width="11.42578125" style="202"/>
    <col min="10498" max="10498" width="22.7109375" style="202" customWidth="1"/>
    <col min="10499" max="10504" width="11.42578125" style="202"/>
    <col min="10505" max="10506" width="6.7109375" style="202" customWidth="1"/>
    <col min="10507" max="10507" width="31.42578125" style="202" customWidth="1"/>
    <col min="10508" max="10509" width="11.42578125" style="202"/>
    <col min="10510" max="10511" width="12" style="202" bestFit="1" customWidth="1"/>
    <col min="10512" max="10512" width="11.42578125" style="202"/>
    <col min="10513" max="10513" width="6.7109375" style="202" customWidth="1"/>
    <col min="10514" max="10514" width="7.7109375" style="202" customWidth="1"/>
    <col min="10515" max="10753" width="11.42578125" style="202"/>
    <col min="10754" max="10754" width="22.7109375" style="202" customWidth="1"/>
    <col min="10755" max="10760" width="11.42578125" style="202"/>
    <col min="10761" max="10762" width="6.7109375" style="202" customWidth="1"/>
    <col min="10763" max="10763" width="31.42578125" style="202" customWidth="1"/>
    <col min="10764" max="10765" width="11.42578125" style="202"/>
    <col min="10766" max="10767" width="12" style="202" bestFit="1" customWidth="1"/>
    <col min="10768" max="10768" width="11.42578125" style="202"/>
    <col min="10769" max="10769" width="6.7109375" style="202" customWidth="1"/>
    <col min="10770" max="10770" width="7.7109375" style="202" customWidth="1"/>
    <col min="10771" max="11009" width="11.42578125" style="202"/>
    <col min="11010" max="11010" width="22.7109375" style="202" customWidth="1"/>
    <col min="11011" max="11016" width="11.42578125" style="202"/>
    <col min="11017" max="11018" width="6.7109375" style="202" customWidth="1"/>
    <col min="11019" max="11019" width="31.42578125" style="202" customWidth="1"/>
    <col min="11020" max="11021" width="11.42578125" style="202"/>
    <col min="11022" max="11023" width="12" style="202" bestFit="1" customWidth="1"/>
    <col min="11024" max="11024" width="11.42578125" style="202"/>
    <col min="11025" max="11025" width="6.7109375" style="202" customWidth="1"/>
    <col min="11026" max="11026" width="7.7109375" style="202" customWidth="1"/>
    <col min="11027" max="11265" width="11.42578125" style="202"/>
    <col min="11266" max="11266" width="22.7109375" style="202" customWidth="1"/>
    <col min="11267" max="11272" width="11.42578125" style="202"/>
    <col min="11273" max="11274" width="6.7109375" style="202" customWidth="1"/>
    <col min="11275" max="11275" width="31.42578125" style="202" customWidth="1"/>
    <col min="11276" max="11277" width="11.42578125" style="202"/>
    <col min="11278" max="11279" width="12" style="202" bestFit="1" customWidth="1"/>
    <col min="11280" max="11280" width="11.42578125" style="202"/>
    <col min="11281" max="11281" width="6.7109375" style="202" customWidth="1"/>
    <col min="11282" max="11282" width="7.7109375" style="202" customWidth="1"/>
    <col min="11283" max="11521" width="11.42578125" style="202"/>
    <col min="11522" max="11522" width="22.7109375" style="202" customWidth="1"/>
    <col min="11523" max="11528" width="11.42578125" style="202"/>
    <col min="11529" max="11530" width="6.7109375" style="202" customWidth="1"/>
    <col min="11531" max="11531" width="31.42578125" style="202" customWidth="1"/>
    <col min="11532" max="11533" width="11.42578125" style="202"/>
    <col min="11534" max="11535" width="12" style="202" bestFit="1" customWidth="1"/>
    <col min="11536" max="11536" width="11.42578125" style="202"/>
    <col min="11537" max="11537" width="6.7109375" style="202" customWidth="1"/>
    <col min="11538" max="11538" width="7.7109375" style="202" customWidth="1"/>
    <col min="11539" max="11777" width="11.42578125" style="202"/>
    <col min="11778" max="11778" width="22.7109375" style="202" customWidth="1"/>
    <col min="11779" max="11784" width="11.42578125" style="202"/>
    <col min="11785" max="11786" width="6.7109375" style="202" customWidth="1"/>
    <col min="11787" max="11787" width="31.42578125" style="202" customWidth="1"/>
    <col min="11788" max="11789" width="11.42578125" style="202"/>
    <col min="11790" max="11791" width="12" style="202" bestFit="1" customWidth="1"/>
    <col min="11792" max="11792" width="11.42578125" style="202"/>
    <col min="11793" max="11793" width="6.7109375" style="202" customWidth="1"/>
    <col min="11794" max="11794" width="7.7109375" style="202" customWidth="1"/>
    <col min="11795" max="12033" width="11.42578125" style="202"/>
    <col min="12034" max="12034" width="22.7109375" style="202" customWidth="1"/>
    <col min="12035" max="12040" width="11.42578125" style="202"/>
    <col min="12041" max="12042" width="6.7109375" style="202" customWidth="1"/>
    <col min="12043" max="12043" width="31.42578125" style="202" customWidth="1"/>
    <col min="12044" max="12045" width="11.42578125" style="202"/>
    <col min="12046" max="12047" width="12" style="202" bestFit="1" customWidth="1"/>
    <col min="12048" max="12048" width="11.42578125" style="202"/>
    <col min="12049" max="12049" width="6.7109375" style="202" customWidth="1"/>
    <col min="12050" max="12050" width="7.7109375" style="202" customWidth="1"/>
    <col min="12051" max="12289" width="11.42578125" style="202"/>
    <col min="12290" max="12290" width="22.7109375" style="202" customWidth="1"/>
    <col min="12291" max="12296" width="11.42578125" style="202"/>
    <col min="12297" max="12298" width="6.7109375" style="202" customWidth="1"/>
    <col min="12299" max="12299" width="31.42578125" style="202" customWidth="1"/>
    <col min="12300" max="12301" width="11.42578125" style="202"/>
    <col min="12302" max="12303" width="12" style="202" bestFit="1" customWidth="1"/>
    <col min="12304" max="12304" width="11.42578125" style="202"/>
    <col min="12305" max="12305" width="6.7109375" style="202" customWidth="1"/>
    <col min="12306" max="12306" width="7.7109375" style="202" customWidth="1"/>
    <col min="12307" max="12545" width="11.42578125" style="202"/>
    <col min="12546" max="12546" width="22.7109375" style="202" customWidth="1"/>
    <col min="12547" max="12552" width="11.42578125" style="202"/>
    <col min="12553" max="12554" width="6.7109375" style="202" customWidth="1"/>
    <col min="12555" max="12555" width="31.42578125" style="202" customWidth="1"/>
    <col min="12556" max="12557" width="11.42578125" style="202"/>
    <col min="12558" max="12559" width="12" style="202" bestFit="1" customWidth="1"/>
    <col min="12560" max="12560" width="11.42578125" style="202"/>
    <col min="12561" max="12561" width="6.7109375" style="202" customWidth="1"/>
    <col min="12562" max="12562" width="7.7109375" style="202" customWidth="1"/>
    <col min="12563" max="12801" width="11.42578125" style="202"/>
    <col min="12802" max="12802" width="22.7109375" style="202" customWidth="1"/>
    <col min="12803" max="12808" width="11.42578125" style="202"/>
    <col min="12809" max="12810" width="6.7109375" style="202" customWidth="1"/>
    <col min="12811" max="12811" width="31.42578125" style="202" customWidth="1"/>
    <col min="12812" max="12813" width="11.42578125" style="202"/>
    <col min="12814" max="12815" width="12" style="202" bestFit="1" customWidth="1"/>
    <col min="12816" max="12816" width="11.42578125" style="202"/>
    <col min="12817" max="12817" width="6.7109375" style="202" customWidth="1"/>
    <col min="12818" max="12818" width="7.7109375" style="202" customWidth="1"/>
    <col min="12819" max="13057" width="11.42578125" style="202"/>
    <col min="13058" max="13058" width="22.7109375" style="202" customWidth="1"/>
    <col min="13059" max="13064" width="11.42578125" style="202"/>
    <col min="13065" max="13066" width="6.7109375" style="202" customWidth="1"/>
    <col min="13067" max="13067" width="31.42578125" style="202" customWidth="1"/>
    <col min="13068" max="13069" width="11.42578125" style="202"/>
    <col min="13070" max="13071" width="12" style="202" bestFit="1" customWidth="1"/>
    <col min="13072" max="13072" width="11.42578125" style="202"/>
    <col min="13073" max="13073" width="6.7109375" style="202" customWidth="1"/>
    <col min="13074" max="13074" width="7.7109375" style="202" customWidth="1"/>
    <col min="13075" max="13313" width="11.42578125" style="202"/>
    <col min="13314" max="13314" width="22.7109375" style="202" customWidth="1"/>
    <col min="13315" max="13320" width="11.42578125" style="202"/>
    <col min="13321" max="13322" width="6.7109375" style="202" customWidth="1"/>
    <col min="13323" max="13323" width="31.42578125" style="202" customWidth="1"/>
    <col min="13324" max="13325" width="11.42578125" style="202"/>
    <col min="13326" max="13327" width="12" style="202" bestFit="1" customWidth="1"/>
    <col min="13328" max="13328" width="11.42578125" style="202"/>
    <col min="13329" max="13329" width="6.7109375" style="202" customWidth="1"/>
    <col min="13330" max="13330" width="7.7109375" style="202" customWidth="1"/>
    <col min="13331" max="13569" width="11.42578125" style="202"/>
    <col min="13570" max="13570" width="22.7109375" style="202" customWidth="1"/>
    <col min="13571" max="13576" width="11.42578125" style="202"/>
    <col min="13577" max="13578" width="6.7109375" style="202" customWidth="1"/>
    <col min="13579" max="13579" width="31.42578125" style="202" customWidth="1"/>
    <col min="13580" max="13581" width="11.42578125" style="202"/>
    <col min="13582" max="13583" width="12" style="202" bestFit="1" customWidth="1"/>
    <col min="13584" max="13584" width="11.42578125" style="202"/>
    <col min="13585" max="13585" width="6.7109375" style="202" customWidth="1"/>
    <col min="13586" max="13586" width="7.7109375" style="202" customWidth="1"/>
    <col min="13587" max="13825" width="11.42578125" style="202"/>
    <col min="13826" max="13826" width="22.7109375" style="202" customWidth="1"/>
    <col min="13827" max="13832" width="11.42578125" style="202"/>
    <col min="13833" max="13834" width="6.7109375" style="202" customWidth="1"/>
    <col min="13835" max="13835" width="31.42578125" style="202" customWidth="1"/>
    <col min="13836" max="13837" width="11.42578125" style="202"/>
    <col min="13838" max="13839" width="12" style="202" bestFit="1" customWidth="1"/>
    <col min="13840" max="13840" width="11.42578125" style="202"/>
    <col min="13841" max="13841" width="6.7109375" style="202" customWidth="1"/>
    <col min="13842" max="13842" width="7.7109375" style="202" customWidth="1"/>
    <col min="13843" max="14081" width="11.42578125" style="202"/>
    <col min="14082" max="14082" width="22.7109375" style="202" customWidth="1"/>
    <col min="14083" max="14088" width="11.42578125" style="202"/>
    <col min="14089" max="14090" width="6.7109375" style="202" customWidth="1"/>
    <col min="14091" max="14091" width="31.42578125" style="202" customWidth="1"/>
    <col min="14092" max="14093" width="11.42578125" style="202"/>
    <col min="14094" max="14095" width="12" style="202" bestFit="1" customWidth="1"/>
    <col min="14096" max="14096" width="11.42578125" style="202"/>
    <col min="14097" max="14097" width="6.7109375" style="202" customWidth="1"/>
    <col min="14098" max="14098" width="7.7109375" style="202" customWidth="1"/>
    <col min="14099" max="14337" width="11.42578125" style="202"/>
    <col min="14338" max="14338" width="22.7109375" style="202" customWidth="1"/>
    <col min="14339" max="14344" width="11.42578125" style="202"/>
    <col min="14345" max="14346" width="6.7109375" style="202" customWidth="1"/>
    <col min="14347" max="14347" width="31.42578125" style="202" customWidth="1"/>
    <col min="14348" max="14349" width="11.42578125" style="202"/>
    <col min="14350" max="14351" width="12" style="202" bestFit="1" customWidth="1"/>
    <col min="14352" max="14352" width="11.42578125" style="202"/>
    <col min="14353" max="14353" width="6.7109375" style="202" customWidth="1"/>
    <col min="14354" max="14354" width="7.7109375" style="202" customWidth="1"/>
    <col min="14355" max="14593" width="11.42578125" style="202"/>
    <col min="14594" max="14594" width="22.7109375" style="202" customWidth="1"/>
    <col min="14595" max="14600" width="11.42578125" style="202"/>
    <col min="14601" max="14602" width="6.7109375" style="202" customWidth="1"/>
    <col min="14603" max="14603" width="31.42578125" style="202" customWidth="1"/>
    <col min="14604" max="14605" width="11.42578125" style="202"/>
    <col min="14606" max="14607" width="12" style="202" bestFit="1" customWidth="1"/>
    <col min="14608" max="14608" width="11.42578125" style="202"/>
    <col min="14609" max="14609" width="6.7109375" style="202" customWidth="1"/>
    <col min="14610" max="14610" width="7.7109375" style="202" customWidth="1"/>
    <col min="14611" max="14849" width="11.42578125" style="202"/>
    <col min="14850" max="14850" width="22.7109375" style="202" customWidth="1"/>
    <col min="14851" max="14856" width="11.42578125" style="202"/>
    <col min="14857" max="14858" width="6.7109375" style="202" customWidth="1"/>
    <col min="14859" max="14859" width="31.42578125" style="202" customWidth="1"/>
    <col min="14860" max="14861" width="11.42578125" style="202"/>
    <col min="14862" max="14863" width="12" style="202" bestFit="1" customWidth="1"/>
    <col min="14864" max="14864" width="11.42578125" style="202"/>
    <col min="14865" max="14865" width="6.7109375" style="202" customWidth="1"/>
    <col min="14866" max="14866" width="7.7109375" style="202" customWidth="1"/>
    <col min="14867" max="15105" width="11.42578125" style="202"/>
    <col min="15106" max="15106" width="22.7109375" style="202" customWidth="1"/>
    <col min="15107" max="15112" width="11.42578125" style="202"/>
    <col min="15113" max="15114" width="6.7109375" style="202" customWidth="1"/>
    <col min="15115" max="15115" width="31.42578125" style="202" customWidth="1"/>
    <col min="15116" max="15117" width="11.42578125" style="202"/>
    <col min="15118" max="15119" width="12" style="202" bestFit="1" customWidth="1"/>
    <col min="15120" max="15120" width="11.42578125" style="202"/>
    <col min="15121" max="15121" width="6.7109375" style="202" customWidth="1"/>
    <col min="15122" max="15122" width="7.7109375" style="202" customWidth="1"/>
    <col min="15123" max="15361" width="11.42578125" style="202"/>
    <col min="15362" max="15362" width="22.7109375" style="202" customWidth="1"/>
    <col min="15363" max="15368" width="11.42578125" style="202"/>
    <col min="15369" max="15370" width="6.7109375" style="202" customWidth="1"/>
    <col min="15371" max="15371" width="31.42578125" style="202" customWidth="1"/>
    <col min="15372" max="15373" width="11.42578125" style="202"/>
    <col min="15374" max="15375" width="12" style="202" bestFit="1" customWidth="1"/>
    <col min="15376" max="15376" width="11.42578125" style="202"/>
    <col min="15377" max="15377" width="6.7109375" style="202" customWidth="1"/>
    <col min="15378" max="15378" width="7.7109375" style="202" customWidth="1"/>
    <col min="15379" max="15617" width="11.42578125" style="202"/>
    <col min="15618" max="15618" width="22.7109375" style="202" customWidth="1"/>
    <col min="15619" max="15624" width="11.42578125" style="202"/>
    <col min="15625" max="15626" width="6.7109375" style="202" customWidth="1"/>
    <col min="15627" max="15627" width="31.42578125" style="202" customWidth="1"/>
    <col min="15628" max="15629" width="11.42578125" style="202"/>
    <col min="15630" max="15631" width="12" style="202" bestFit="1" customWidth="1"/>
    <col min="15632" max="15632" width="11.42578125" style="202"/>
    <col min="15633" max="15633" width="6.7109375" style="202" customWidth="1"/>
    <col min="15634" max="15634" width="7.7109375" style="202" customWidth="1"/>
    <col min="15635" max="15873" width="11.42578125" style="202"/>
    <col min="15874" max="15874" width="22.7109375" style="202" customWidth="1"/>
    <col min="15875" max="15880" width="11.42578125" style="202"/>
    <col min="15881" max="15882" width="6.7109375" style="202" customWidth="1"/>
    <col min="15883" max="15883" width="31.42578125" style="202" customWidth="1"/>
    <col min="15884" max="15885" width="11.42578125" style="202"/>
    <col min="15886" max="15887" width="12" style="202" bestFit="1" customWidth="1"/>
    <col min="15888" max="15888" width="11.42578125" style="202"/>
    <col min="15889" max="15889" width="6.7109375" style="202" customWidth="1"/>
    <col min="15890" max="15890" width="7.7109375" style="202" customWidth="1"/>
    <col min="15891" max="16129" width="11.42578125" style="202"/>
    <col min="16130" max="16130" width="22.7109375" style="202" customWidth="1"/>
    <col min="16131" max="16136" width="11.42578125" style="202"/>
    <col min="16137" max="16138" width="6.7109375" style="202" customWidth="1"/>
    <col min="16139" max="16139" width="31.42578125" style="202" customWidth="1"/>
    <col min="16140" max="16141" width="11.42578125" style="202"/>
    <col min="16142" max="16143" width="12" style="202" bestFit="1" customWidth="1"/>
    <col min="16144" max="16144" width="11.42578125" style="202"/>
    <col min="16145" max="16145" width="6.7109375" style="202" customWidth="1"/>
    <col min="16146" max="16146" width="7.7109375" style="202" customWidth="1"/>
    <col min="16147" max="16384" width="11.42578125" style="202"/>
  </cols>
  <sheetData>
    <row r="1" spans="2:17" x14ac:dyDescent="0.25">
      <c r="K1" s="209" t="s">
        <v>718</v>
      </c>
    </row>
    <row r="2" spans="2:17" x14ac:dyDescent="0.25">
      <c r="K2" s="202" t="s">
        <v>146</v>
      </c>
    </row>
    <row r="3" spans="2:17" ht="15.75" thickBot="1" x14ac:dyDescent="0.3">
      <c r="B3" s="335" t="s">
        <v>718</v>
      </c>
    </row>
    <row r="4" spans="2:17" x14ac:dyDescent="0.25">
      <c r="C4" s="349">
        <v>39599</v>
      </c>
      <c r="D4" s="349">
        <v>39600</v>
      </c>
      <c r="E4" s="349">
        <f>+D4+31</f>
        <v>39631</v>
      </c>
      <c r="F4" s="349">
        <f>+E4+31</f>
        <v>39662</v>
      </c>
      <c r="G4" s="349">
        <f>+F4+31</f>
        <v>39693</v>
      </c>
      <c r="H4" s="336" t="s">
        <v>84</v>
      </c>
      <c r="I4" s="336" t="s">
        <v>144</v>
      </c>
      <c r="J4" s="336"/>
      <c r="K4" s="203" t="s">
        <v>146</v>
      </c>
      <c r="L4" s="204"/>
      <c r="M4" s="204"/>
      <c r="N4" s="204"/>
      <c r="O4" s="204"/>
      <c r="P4" s="204"/>
      <c r="Q4" s="205"/>
    </row>
    <row r="5" spans="2:17" x14ac:dyDescent="0.25">
      <c r="K5" s="211"/>
      <c r="L5" s="340">
        <v>39600</v>
      </c>
      <c r="M5" s="340">
        <f>+L5+31</f>
        <v>39631</v>
      </c>
      <c r="N5" s="340">
        <f>+M5+31</f>
        <v>39662</v>
      </c>
      <c r="O5" s="340">
        <f>+N5+31</f>
        <v>39693</v>
      </c>
      <c r="P5" s="338" t="s">
        <v>84</v>
      </c>
      <c r="Q5" s="344"/>
    </row>
    <row r="6" spans="2:17" x14ac:dyDescent="0.25">
      <c r="B6" s="335" t="s">
        <v>719</v>
      </c>
      <c r="K6" s="211"/>
      <c r="L6" s="207"/>
      <c r="M6" s="207"/>
      <c r="N6" s="207"/>
      <c r="O6" s="207"/>
      <c r="P6" s="207"/>
      <c r="Q6" s="228"/>
    </row>
    <row r="7" spans="2:17" x14ac:dyDescent="0.25">
      <c r="B7" s="202" t="s">
        <v>147</v>
      </c>
      <c r="C7" s="231">
        <v>13000</v>
      </c>
      <c r="D7" s="231"/>
      <c r="E7" s="231">
        <v>14000</v>
      </c>
      <c r="F7" s="231">
        <v>2000</v>
      </c>
      <c r="G7" s="231">
        <v>15000</v>
      </c>
      <c r="H7" s="231">
        <f>SUM(D7:G7)</f>
        <v>31000</v>
      </c>
      <c r="I7" s="350">
        <f>+H7/$H$7</f>
        <v>1</v>
      </c>
      <c r="J7" s="350"/>
      <c r="K7" s="206" t="s">
        <v>719</v>
      </c>
      <c r="L7" s="207"/>
      <c r="M7" s="207"/>
      <c r="N7" s="207"/>
      <c r="O7" s="207"/>
      <c r="P7" s="207"/>
      <c r="Q7" s="228"/>
    </row>
    <row r="8" spans="2:17" x14ac:dyDescent="0.25">
      <c r="B8" s="202" t="s">
        <v>148</v>
      </c>
      <c r="C8" s="231"/>
      <c r="D8" s="231"/>
      <c r="E8" s="231">
        <v>5500</v>
      </c>
      <c r="F8" s="231">
        <v>800</v>
      </c>
      <c r="G8" s="231">
        <v>6100</v>
      </c>
      <c r="H8" s="231">
        <f>SUM(D8:G8)</f>
        <v>12400</v>
      </c>
      <c r="I8" s="350">
        <f>+H8/$H$7</f>
        <v>0.4</v>
      </c>
      <c r="J8" s="350"/>
      <c r="K8" s="211" t="s">
        <v>147</v>
      </c>
      <c r="L8" s="213">
        <v>13500</v>
      </c>
      <c r="M8" s="213"/>
      <c r="N8" s="213"/>
      <c r="O8" s="213"/>
      <c r="P8" s="213">
        <f>SUM(L8:O8)</f>
        <v>13500</v>
      </c>
      <c r="Q8" s="339"/>
    </row>
    <row r="9" spans="2:17" x14ac:dyDescent="0.25">
      <c r="B9" s="202" t="s">
        <v>720</v>
      </c>
      <c r="C9" s="231"/>
      <c r="D9" s="231"/>
      <c r="E9" s="231">
        <f>+E7-E8</f>
        <v>8500</v>
      </c>
      <c r="F9" s="231">
        <f>+F7-F8</f>
        <v>1200</v>
      </c>
      <c r="G9" s="231">
        <f>+G7-G8</f>
        <v>8900</v>
      </c>
      <c r="H9" s="231">
        <f>SUM(D9:G9)</f>
        <v>18600</v>
      </c>
      <c r="I9" s="350">
        <f>+H9/$H$7</f>
        <v>0.6</v>
      </c>
      <c r="J9" s="350"/>
      <c r="K9" s="211" t="s">
        <v>721</v>
      </c>
      <c r="L9" s="213">
        <f>0.4*L8</f>
        <v>5400</v>
      </c>
      <c r="M9" s="213"/>
      <c r="N9" s="213"/>
      <c r="O9" s="213"/>
      <c r="P9" s="213">
        <f>SUM(L9:O9)</f>
        <v>5400</v>
      </c>
      <c r="Q9" s="339"/>
    </row>
    <row r="10" spans="2:17" x14ac:dyDescent="0.25">
      <c r="B10" s="335" t="s">
        <v>722</v>
      </c>
      <c r="C10" s="231"/>
      <c r="D10" s="231"/>
      <c r="E10" s="231"/>
      <c r="F10" s="231"/>
      <c r="G10" s="231"/>
      <c r="K10" s="211" t="s">
        <v>720</v>
      </c>
      <c r="L10" s="213">
        <f>+L8-L9</f>
        <v>8100</v>
      </c>
      <c r="M10" s="213"/>
      <c r="N10" s="213"/>
      <c r="O10" s="213"/>
      <c r="P10" s="213">
        <f>SUM(L10:O10)</f>
        <v>8100</v>
      </c>
      <c r="Q10" s="339"/>
    </row>
    <row r="11" spans="2:17" x14ac:dyDescent="0.25">
      <c r="B11" s="202" t="s">
        <v>147</v>
      </c>
      <c r="C11" s="231">
        <v>12000</v>
      </c>
      <c r="D11" s="231"/>
      <c r="E11" s="231"/>
      <c r="F11" s="231"/>
      <c r="G11" s="231"/>
      <c r="H11" s="231">
        <f t="shared" ref="H11:H19" si="0">SUM(D11:G11)</f>
        <v>0</v>
      </c>
      <c r="I11" s="350"/>
      <c r="J11" s="350"/>
      <c r="K11" s="206" t="s">
        <v>722</v>
      </c>
      <c r="L11" s="213"/>
      <c r="M11" s="213"/>
      <c r="N11" s="213"/>
      <c r="O11" s="213"/>
      <c r="P11" s="207"/>
      <c r="Q11" s="228"/>
    </row>
    <row r="12" spans="2:17" x14ac:dyDescent="0.25">
      <c r="B12" s="202" t="s">
        <v>148</v>
      </c>
      <c r="C12" s="231"/>
      <c r="D12" s="231"/>
      <c r="E12" s="231"/>
      <c r="F12" s="231"/>
      <c r="G12" s="231"/>
      <c r="H12" s="231">
        <f t="shared" si="0"/>
        <v>0</v>
      </c>
      <c r="I12" s="350"/>
      <c r="J12" s="350"/>
      <c r="K12" s="211" t="s">
        <v>147</v>
      </c>
      <c r="L12" s="213">
        <v>12000</v>
      </c>
      <c r="M12" s="213">
        <v>12000</v>
      </c>
      <c r="N12" s="213"/>
      <c r="O12" s="213">
        <v>12000</v>
      </c>
      <c r="P12" s="213">
        <f>SUM(L12:O12)</f>
        <v>36000</v>
      </c>
      <c r="Q12" s="339"/>
    </row>
    <row r="13" spans="2:17" x14ac:dyDescent="0.25">
      <c r="B13" s="202" t="s">
        <v>723</v>
      </c>
      <c r="C13" s="231"/>
      <c r="D13" s="231"/>
      <c r="E13" s="231"/>
      <c r="F13" s="231"/>
      <c r="G13" s="231"/>
      <c r="H13" s="231">
        <f t="shared" si="0"/>
        <v>0</v>
      </c>
      <c r="I13" s="350"/>
      <c r="J13" s="350"/>
      <c r="K13" s="211" t="s">
        <v>148</v>
      </c>
      <c r="L13" s="213">
        <v>4900</v>
      </c>
      <c r="M13" s="213">
        <v>4900</v>
      </c>
      <c r="N13" s="213"/>
      <c r="O13" s="213">
        <v>4900</v>
      </c>
      <c r="P13" s="213">
        <f>SUM(L13:O13)</f>
        <v>14700</v>
      </c>
      <c r="Q13" s="339"/>
    </row>
    <row r="14" spans="2:17" x14ac:dyDescent="0.25">
      <c r="B14" s="383" t="s">
        <v>724</v>
      </c>
      <c r="C14" s="400"/>
      <c r="D14" s="400"/>
      <c r="E14" s="400">
        <f>++E9</f>
        <v>8500</v>
      </c>
      <c r="F14" s="400">
        <f>++F9</f>
        <v>1200</v>
      </c>
      <c r="G14" s="400">
        <f>++G9</f>
        <v>8900</v>
      </c>
      <c r="H14" s="400">
        <f>+H9+H13</f>
        <v>18600</v>
      </c>
      <c r="I14" s="350"/>
      <c r="J14" s="350"/>
      <c r="K14" s="211" t="s">
        <v>723</v>
      </c>
      <c r="L14" s="213">
        <f>+L12-L13</f>
        <v>7100</v>
      </c>
      <c r="M14" s="213">
        <f>+M12-M13</f>
        <v>7100</v>
      </c>
      <c r="N14" s="213"/>
      <c r="O14" s="213">
        <f>+O12-O13</f>
        <v>7100</v>
      </c>
      <c r="P14" s="213">
        <f>SUM(L14:O14)</f>
        <v>21300</v>
      </c>
      <c r="Q14" s="339"/>
    </row>
    <row r="15" spans="2:17" x14ac:dyDescent="0.25">
      <c r="B15" s="202" t="s">
        <v>152</v>
      </c>
      <c r="C15" s="231"/>
      <c r="D15" s="231">
        <v>10000</v>
      </c>
      <c r="E15" s="231">
        <v>10000</v>
      </c>
      <c r="F15" s="231">
        <v>10000</v>
      </c>
      <c r="G15" s="231">
        <v>10000</v>
      </c>
      <c r="H15" s="231">
        <f t="shared" si="0"/>
        <v>40000</v>
      </c>
      <c r="J15" s="350"/>
      <c r="K15" s="358" t="s">
        <v>724</v>
      </c>
      <c r="L15" s="273">
        <f>+L10+L14</f>
        <v>15200</v>
      </c>
      <c r="M15" s="273">
        <f>+M10+M14</f>
        <v>7100</v>
      </c>
      <c r="N15" s="273">
        <f>+N10+N14</f>
        <v>0</v>
      </c>
      <c r="O15" s="273">
        <f>+O10+O14</f>
        <v>7100</v>
      </c>
      <c r="P15" s="273">
        <f>+P10+P14</f>
        <v>29400</v>
      </c>
      <c r="Q15" s="359"/>
    </row>
    <row r="16" spans="2:17" ht="15.75" thickBot="1" x14ac:dyDescent="0.3">
      <c r="B16" s="202" t="s">
        <v>725</v>
      </c>
      <c r="C16" s="231"/>
      <c r="D16" s="231"/>
      <c r="E16" s="231">
        <v>500</v>
      </c>
      <c r="F16" s="231">
        <v>200</v>
      </c>
      <c r="G16" s="231">
        <v>500</v>
      </c>
      <c r="H16" s="231">
        <f t="shared" si="0"/>
        <v>1200</v>
      </c>
      <c r="J16" s="350"/>
      <c r="K16" s="211"/>
      <c r="L16" s="207"/>
      <c r="M16" s="207"/>
      <c r="N16" s="207"/>
      <c r="O16" s="207"/>
      <c r="P16" s="207"/>
      <c r="Q16" s="228"/>
    </row>
    <row r="17" spans="2:18" x14ac:dyDescent="0.25">
      <c r="B17" s="202" t="s">
        <v>154</v>
      </c>
      <c r="C17" s="231"/>
      <c r="D17" s="231"/>
      <c r="E17" s="231"/>
      <c r="F17" s="231"/>
      <c r="G17" s="231"/>
      <c r="H17" s="231">
        <f t="shared" si="0"/>
        <v>0</v>
      </c>
      <c r="K17" s="394" t="s">
        <v>714</v>
      </c>
      <c r="L17" s="395"/>
      <c r="M17" s="395"/>
      <c r="N17" s="395"/>
      <c r="O17" s="395"/>
      <c r="P17" s="395"/>
      <c r="Q17" s="396"/>
    </row>
    <row r="18" spans="2:18" x14ac:dyDescent="0.25">
      <c r="B18" s="202" t="s">
        <v>155</v>
      </c>
      <c r="C18" s="231"/>
      <c r="D18" s="231">
        <v>1300</v>
      </c>
      <c r="E18" s="231">
        <v>1500</v>
      </c>
      <c r="F18" s="231">
        <v>1170</v>
      </c>
      <c r="G18" s="231">
        <v>1600</v>
      </c>
      <c r="H18" s="231">
        <f t="shared" si="0"/>
        <v>5570</v>
      </c>
      <c r="K18" s="346"/>
      <c r="L18" s="286"/>
      <c r="M18" s="286"/>
      <c r="N18" s="286"/>
      <c r="O18" s="286"/>
      <c r="P18" s="286"/>
      <c r="Q18" s="287"/>
    </row>
    <row r="19" spans="2:18" x14ac:dyDescent="0.25">
      <c r="B19" s="202" t="s">
        <v>713</v>
      </c>
      <c r="C19" s="231"/>
      <c r="D19" s="231">
        <v>1000</v>
      </c>
      <c r="E19" s="231">
        <v>1000</v>
      </c>
      <c r="F19" s="231">
        <v>1000</v>
      </c>
      <c r="G19" s="231">
        <v>1000</v>
      </c>
      <c r="H19" s="231">
        <f t="shared" si="0"/>
        <v>4000</v>
      </c>
      <c r="K19" s="347"/>
      <c r="L19" s="213"/>
      <c r="M19" s="213"/>
      <c r="N19" s="213"/>
      <c r="O19" s="213"/>
      <c r="P19" s="213"/>
      <c r="Q19" s="228"/>
    </row>
    <row r="20" spans="2:18" x14ac:dyDescent="0.25">
      <c r="B20" s="354" t="s">
        <v>726</v>
      </c>
      <c r="C20" s="231"/>
      <c r="D20" s="231">
        <f>SUM(D15:D19)</f>
        <v>12300</v>
      </c>
      <c r="E20" s="231">
        <f>SUM(E15:E19)</f>
        <v>13000</v>
      </c>
      <c r="F20" s="231">
        <f>SUM(F15:F19)</f>
        <v>12370</v>
      </c>
      <c r="G20" s="231">
        <f>SUM(G15:G19)</f>
        <v>13100</v>
      </c>
      <c r="H20" s="231">
        <f>SUM(H15:H19)</f>
        <v>50770</v>
      </c>
      <c r="K20" s="211" t="s">
        <v>725</v>
      </c>
      <c r="L20" s="207"/>
      <c r="M20" s="213">
        <f>+E16</f>
        <v>500</v>
      </c>
      <c r="N20" s="213">
        <f>+F16</f>
        <v>200</v>
      </c>
      <c r="O20" s="213">
        <f>+G16</f>
        <v>500</v>
      </c>
      <c r="P20" s="213">
        <f>SUM(M20:O20)</f>
        <v>1200</v>
      </c>
      <c r="Q20" s="228"/>
    </row>
    <row r="21" spans="2:18" ht="15.75" thickBot="1" x14ac:dyDescent="0.3">
      <c r="B21" s="383" t="s">
        <v>158</v>
      </c>
      <c r="C21" s="400"/>
      <c r="D21" s="400">
        <f>+D14-D20</f>
        <v>-12300</v>
      </c>
      <c r="E21" s="400">
        <f>+E14-E20</f>
        <v>-4500</v>
      </c>
      <c r="F21" s="400">
        <f>+F14-F20</f>
        <v>-11170</v>
      </c>
      <c r="G21" s="400">
        <f>+G14-G20</f>
        <v>-4200</v>
      </c>
      <c r="H21" s="400">
        <f>+H14-H20</f>
        <v>-32170</v>
      </c>
      <c r="K21" s="211" t="s">
        <v>154</v>
      </c>
      <c r="L21" s="213">
        <f>-(+D54+D36)/2</f>
        <v>-190</v>
      </c>
      <c r="M21" s="213">
        <f>-(+E54+E36)/2</f>
        <v>-190</v>
      </c>
      <c r="N21" s="213">
        <f>-(+F54+F36)/2</f>
        <v>-40</v>
      </c>
      <c r="O21" s="213">
        <f>-(+G54+G36)/2</f>
        <v>-200</v>
      </c>
      <c r="P21" s="213">
        <f>SUM(L21:O21)</f>
        <v>-620</v>
      </c>
      <c r="Q21" s="228"/>
    </row>
    <row r="22" spans="2:18" ht="15.75" thickBot="1" x14ac:dyDescent="0.3">
      <c r="C22" s="231"/>
      <c r="D22" s="231"/>
      <c r="E22" s="231"/>
      <c r="F22" s="231"/>
      <c r="G22" s="231"/>
      <c r="K22" s="397" t="s">
        <v>158</v>
      </c>
      <c r="L22" s="398"/>
      <c r="M22" s="398"/>
      <c r="N22" s="398"/>
      <c r="O22" s="398"/>
      <c r="P22" s="398">
        <f>+P15-P20-P21</f>
        <v>28820</v>
      </c>
      <c r="Q22" s="401"/>
    </row>
    <row r="23" spans="2:18" x14ac:dyDescent="0.25">
      <c r="K23" s="211"/>
      <c r="L23" s="207"/>
      <c r="M23" s="207"/>
      <c r="N23" s="207"/>
      <c r="O23" s="207"/>
      <c r="P23" s="207"/>
      <c r="Q23" s="228"/>
    </row>
    <row r="24" spans="2:18" ht="15.75" thickBot="1" x14ac:dyDescent="0.3">
      <c r="B24" s="335" t="s">
        <v>718</v>
      </c>
      <c r="C24" s="349">
        <v>39233</v>
      </c>
      <c r="D24" s="349">
        <v>39234</v>
      </c>
      <c r="E24" s="349">
        <f>+D24+31</f>
        <v>39265</v>
      </c>
      <c r="F24" s="349">
        <f>+E24+31</f>
        <v>39296</v>
      </c>
      <c r="G24" s="349">
        <f>+F24+31</f>
        <v>39327</v>
      </c>
      <c r="H24" s="336" t="s">
        <v>84</v>
      </c>
      <c r="I24" s="336" t="s">
        <v>144</v>
      </c>
      <c r="K24" s="221"/>
      <c r="L24" s="222"/>
      <c r="M24" s="222"/>
      <c r="N24" s="222"/>
      <c r="O24" s="222"/>
      <c r="P24" s="222"/>
      <c r="Q24" s="337"/>
    </row>
    <row r="25" spans="2:18" x14ac:dyDescent="0.25">
      <c r="J25" s="336"/>
      <c r="K25" s="207"/>
      <c r="L25" s="207"/>
      <c r="M25" s="207"/>
      <c r="N25" s="207"/>
      <c r="O25" s="207"/>
      <c r="P25" s="207"/>
      <c r="Q25" s="207"/>
    </row>
    <row r="26" spans="2:18" x14ac:dyDescent="0.25">
      <c r="B26" s="335" t="s">
        <v>719</v>
      </c>
      <c r="K26" s="202" t="s">
        <v>716</v>
      </c>
      <c r="L26" s="207"/>
      <c r="M26" s="207"/>
      <c r="N26" s="207"/>
      <c r="O26" s="207"/>
      <c r="P26" s="207"/>
      <c r="Q26" s="207"/>
      <c r="R26" s="207"/>
    </row>
    <row r="27" spans="2:18" ht="15.75" thickBot="1" x14ac:dyDescent="0.3">
      <c r="B27" s="202" t="s">
        <v>147</v>
      </c>
      <c r="C27" s="231"/>
      <c r="D27" s="231">
        <v>13500</v>
      </c>
      <c r="E27" s="231">
        <v>15000</v>
      </c>
      <c r="F27" s="231">
        <v>3000</v>
      </c>
      <c r="G27" s="231">
        <v>16000</v>
      </c>
      <c r="H27" s="231">
        <f>SUM(D27:G27)</f>
        <v>47500</v>
      </c>
      <c r="I27" s="350">
        <f>+H27/$H$27</f>
        <v>1</v>
      </c>
      <c r="K27" s="207"/>
      <c r="L27" s="207"/>
      <c r="M27" s="207"/>
      <c r="N27" s="207"/>
      <c r="O27" s="207"/>
      <c r="P27" s="207"/>
      <c r="Q27" s="207"/>
    </row>
    <row r="28" spans="2:18" x14ac:dyDescent="0.25">
      <c r="B28" s="202" t="s">
        <v>148</v>
      </c>
      <c r="C28" s="231"/>
      <c r="D28" s="231">
        <v>5400</v>
      </c>
      <c r="E28" s="231">
        <v>6200</v>
      </c>
      <c r="F28" s="231">
        <v>1300</v>
      </c>
      <c r="G28" s="231">
        <v>6400</v>
      </c>
      <c r="H28" s="231">
        <f t="shared" ref="H28:H33" si="1">SUM(D28:G28)</f>
        <v>19300</v>
      </c>
      <c r="I28" s="350">
        <f>+H28/$H$27</f>
        <v>0.40631578947368419</v>
      </c>
      <c r="J28" s="350"/>
      <c r="K28" s="203"/>
      <c r="L28" s="204"/>
      <c r="M28" s="204"/>
      <c r="N28" s="204"/>
      <c r="O28" s="204"/>
      <c r="P28" s="204"/>
      <c r="Q28" s="205"/>
    </row>
    <row r="29" spans="2:18" x14ac:dyDescent="0.25">
      <c r="B29" s="202" t="s">
        <v>720</v>
      </c>
      <c r="C29" s="231"/>
      <c r="D29" s="231">
        <f>+D27-D28</f>
        <v>8100</v>
      </c>
      <c r="E29" s="231">
        <f>+E27-E28</f>
        <v>8800</v>
      </c>
      <c r="F29" s="231">
        <f>+F27-F28</f>
        <v>1700</v>
      </c>
      <c r="G29" s="231">
        <f>+G27-G28</f>
        <v>9600</v>
      </c>
      <c r="H29" s="231">
        <f t="shared" si="1"/>
        <v>28200</v>
      </c>
      <c r="I29" s="350">
        <f>+H29/$H$27</f>
        <v>0.59368421052631581</v>
      </c>
      <c r="J29" s="350"/>
      <c r="K29" s="211" t="s">
        <v>161</v>
      </c>
      <c r="L29" s="207"/>
      <c r="M29" s="207"/>
      <c r="N29" s="207"/>
      <c r="O29" s="207"/>
      <c r="P29" s="207"/>
      <c r="Q29" s="228"/>
    </row>
    <row r="30" spans="2:18" ht="15.75" thickBot="1" x14ac:dyDescent="0.3">
      <c r="B30" s="335" t="s">
        <v>722</v>
      </c>
      <c r="C30" s="231"/>
      <c r="D30" s="231"/>
      <c r="E30" s="231"/>
      <c r="F30" s="231"/>
      <c r="G30" s="231"/>
      <c r="J30" s="350"/>
      <c r="K30" s="211"/>
      <c r="L30" s="207"/>
      <c r="M30" s="207"/>
      <c r="N30" s="207"/>
      <c r="O30" s="207"/>
      <c r="P30" s="207"/>
      <c r="Q30" s="228"/>
    </row>
    <row r="31" spans="2:18" x14ac:dyDescent="0.25">
      <c r="B31" s="202" t="s">
        <v>147</v>
      </c>
      <c r="C31" s="231"/>
      <c r="D31" s="231">
        <v>12000</v>
      </c>
      <c r="E31" s="231">
        <v>12000</v>
      </c>
      <c r="F31" s="231"/>
      <c r="G31" s="231">
        <v>12000</v>
      </c>
      <c r="H31" s="231">
        <f t="shared" si="1"/>
        <v>36000</v>
      </c>
      <c r="I31" s="350">
        <f>+H31/$H$31</f>
        <v>1</v>
      </c>
      <c r="K31" s="203"/>
      <c r="L31" s="204"/>
      <c r="M31" s="204"/>
      <c r="N31" s="254">
        <v>2007</v>
      </c>
      <c r="O31" s="256">
        <v>2008</v>
      </c>
      <c r="P31" s="207"/>
      <c r="Q31" s="228"/>
    </row>
    <row r="32" spans="2:18" x14ac:dyDescent="0.25">
      <c r="B32" s="202" t="s">
        <v>148</v>
      </c>
      <c r="C32" s="231"/>
      <c r="D32" s="231">
        <v>4900</v>
      </c>
      <c r="E32" s="231">
        <v>4900</v>
      </c>
      <c r="F32" s="231"/>
      <c r="G32" s="231">
        <v>4900</v>
      </c>
      <c r="H32" s="231">
        <f t="shared" si="1"/>
        <v>14700</v>
      </c>
      <c r="I32" s="350">
        <f>+H32/$H$31</f>
        <v>0.40833333333333333</v>
      </c>
      <c r="J32" s="350"/>
      <c r="K32" s="211" t="s">
        <v>162</v>
      </c>
      <c r="L32" s="207"/>
      <c r="M32" s="207"/>
      <c r="N32" s="213">
        <f>+H39</f>
        <v>50440</v>
      </c>
      <c r="O32" s="214">
        <f>+H20</f>
        <v>50770</v>
      </c>
      <c r="P32" s="207"/>
      <c r="Q32" s="228"/>
    </row>
    <row r="33" spans="2:17" x14ac:dyDescent="0.25">
      <c r="B33" s="202" t="s">
        <v>723</v>
      </c>
      <c r="C33" s="231"/>
      <c r="D33" s="231">
        <f>+D31-D32</f>
        <v>7100</v>
      </c>
      <c r="E33" s="231">
        <f>+E31-E32</f>
        <v>7100</v>
      </c>
      <c r="F33" s="231"/>
      <c r="G33" s="231">
        <f>+G31-G32</f>
        <v>7100</v>
      </c>
      <c r="H33" s="231">
        <f t="shared" si="1"/>
        <v>21300</v>
      </c>
      <c r="I33" s="350">
        <f>+H33/$H$31</f>
        <v>0.59166666666666667</v>
      </c>
      <c r="J33" s="350"/>
      <c r="K33" s="211" t="s">
        <v>163</v>
      </c>
      <c r="L33" s="207"/>
      <c r="M33" s="207"/>
      <c r="N33" s="207"/>
      <c r="O33" s="214">
        <f>+H21</f>
        <v>-32170</v>
      </c>
      <c r="P33" s="207"/>
      <c r="Q33" s="228"/>
    </row>
    <row r="34" spans="2:17" x14ac:dyDescent="0.25">
      <c r="B34" s="383" t="s">
        <v>724</v>
      </c>
      <c r="C34" s="400"/>
      <c r="D34" s="400">
        <f>+D29+D33</f>
        <v>15200</v>
      </c>
      <c r="E34" s="400">
        <f>+E29+E33</f>
        <v>15900</v>
      </c>
      <c r="F34" s="400">
        <f>+F29+F33</f>
        <v>1700</v>
      </c>
      <c r="G34" s="400">
        <f>+G29+G33</f>
        <v>16700</v>
      </c>
      <c r="H34" s="400">
        <f>+H29+H33</f>
        <v>49500</v>
      </c>
      <c r="J34" s="350"/>
      <c r="K34" s="211" t="s">
        <v>164</v>
      </c>
      <c r="L34" s="207"/>
      <c r="M34" s="207"/>
      <c r="N34" s="207"/>
      <c r="O34" s="214">
        <f>+P22</f>
        <v>28820</v>
      </c>
      <c r="P34" s="207"/>
      <c r="Q34" s="228"/>
    </row>
    <row r="35" spans="2:17" x14ac:dyDescent="0.25">
      <c r="B35" s="202" t="s">
        <v>152</v>
      </c>
      <c r="C35" s="231"/>
      <c r="D35" s="231">
        <v>9900</v>
      </c>
      <c r="E35" s="231">
        <v>9900</v>
      </c>
      <c r="F35" s="231">
        <v>9900</v>
      </c>
      <c r="G35" s="231">
        <v>9900</v>
      </c>
      <c r="H35" s="231">
        <f>SUM(D35:G35)</f>
        <v>39600</v>
      </c>
      <c r="J35" s="350"/>
      <c r="K35" s="211" t="s">
        <v>165</v>
      </c>
      <c r="L35" s="207" t="s">
        <v>166</v>
      </c>
      <c r="M35" s="207"/>
      <c r="N35" s="356">
        <f>+H40</f>
        <v>-940</v>
      </c>
      <c r="O35" s="357">
        <f>+O33+O34</f>
        <v>-3350</v>
      </c>
      <c r="P35" s="207"/>
      <c r="Q35" s="228"/>
    </row>
    <row r="36" spans="2:17" x14ac:dyDescent="0.25">
      <c r="B36" s="202" t="s">
        <v>154</v>
      </c>
      <c r="C36" s="231"/>
      <c r="D36" s="231">
        <v>200</v>
      </c>
      <c r="E36" s="231">
        <v>200</v>
      </c>
      <c r="F36" s="231">
        <v>40</v>
      </c>
      <c r="G36" s="231">
        <v>200</v>
      </c>
      <c r="H36" s="231">
        <f>SUM(D36:G36)</f>
        <v>640</v>
      </c>
      <c r="J36" s="350"/>
      <c r="K36" s="211" t="s">
        <v>727</v>
      </c>
      <c r="L36" s="207"/>
      <c r="M36" s="207"/>
      <c r="N36" s="357">
        <f>+N32+N35</f>
        <v>49500</v>
      </c>
      <c r="O36" s="357">
        <f>+O32+O35</f>
        <v>47420</v>
      </c>
      <c r="P36" s="207"/>
      <c r="Q36" s="228"/>
    </row>
    <row r="37" spans="2:17" x14ac:dyDescent="0.25">
      <c r="B37" s="202" t="s">
        <v>155</v>
      </c>
      <c r="C37" s="231"/>
      <c r="D37" s="231">
        <v>1600</v>
      </c>
      <c r="E37" s="231">
        <v>1800</v>
      </c>
      <c r="F37" s="231">
        <v>1200</v>
      </c>
      <c r="G37" s="231">
        <v>1600</v>
      </c>
      <c r="H37" s="231">
        <f>SUM(D37:G37)</f>
        <v>6200</v>
      </c>
      <c r="K37" s="211" t="s">
        <v>728</v>
      </c>
      <c r="L37" s="207" t="s">
        <v>166</v>
      </c>
      <c r="M37" s="207"/>
      <c r="N37" s="213">
        <f>+H34</f>
        <v>49500</v>
      </c>
      <c r="O37" s="214">
        <f>+H14+P22</f>
        <v>47420</v>
      </c>
      <c r="P37" s="207"/>
      <c r="Q37" s="228"/>
    </row>
    <row r="38" spans="2:17" x14ac:dyDescent="0.25">
      <c r="B38" s="202" t="s">
        <v>713</v>
      </c>
      <c r="C38" s="231"/>
      <c r="D38" s="231">
        <v>1000</v>
      </c>
      <c r="E38" s="231">
        <v>1000</v>
      </c>
      <c r="F38" s="231">
        <v>1000</v>
      </c>
      <c r="G38" s="231">
        <v>1000</v>
      </c>
      <c r="H38" s="231">
        <f>SUM(D38:G38)</f>
        <v>4000</v>
      </c>
      <c r="K38" s="211" t="s">
        <v>167</v>
      </c>
      <c r="L38" s="207" t="s">
        <v>144</v>
      </c>
      <c r="M38" s="207"/>
      <c r="N38" s="360"/>
      <c r="O38" s="361">
        <f>+P22/O37</f>
        <v>0.60776043863348794</v>
      </c>
      <c r="P38" s="207"/>
      <c r="Q38" s="228"/>
    </row>
    <row r="39" spans="2:17" ht="15.75" thickBot="1" x14ac:dyDescent="0.3">
      <c r="B39" s="354" t="s">
        <v>726</v>
      </c>
      <c r="C39" s="231"/>
      <c r="D39" s="355">
        <f>SUM(D35:D38)</f>
        <v>12700</v>
      </c>
      <c r="E39" s="355">
        <f>SUM(E35:E38)</f>
        <v>12900</v>
      </c>
      <c r="F39" s="355">
        <f>SUM(F35:F38)</f>
        <v>12140</v>
      </c>
      <c r="G39" s="355">
        <f>SUM(G35:G38)</f>
        <v>12700</v>
      </c>
      <c r="H39" s="355">
        <f>SUM(H35:H38)</f>
        <v>50440</v>
      </c>
      <c r="K39" s="270"/>
      <c r="L39" s="362"/>
      <c r="M39" s="362"/>
      <c r="N39" s="363"/>
      <c r="O39" s="364">
        <f>(+O32+O35)*O38</f>
        <v>28820</v>
      </c>
      <c r="P39" s="222"/>
      <c r="Q39" s="337"/>
    </row>
    <row r="40" spans="2:17" ht="15.75" thickBot="1" x14ac:dyDescent="0.3">
      <c r="B40" s="383" t="s">
        <v>158</v>
      </c>
      <c r="C40" s="400"/>
      <c r="D40" s="400">
        <f>+D34-D39</f>
        <v>2500</v>
      </c>
      <c r="E40" s="400">
        <f>+E34-E39</f>
        <v>3000</v>
      </c>
      <c r="F40" s="400">
        <f>+F34-F39</f>
        <v>-10440</v>
      </c>
      <c r="G40" s="400">
        <f>+G34-G39</f>
        <v>4000</v>
      </c>
      <c r="H40" s="400">
        <f>+H34-H39</f>
        <v>-940</v>
      </c>
      <c r="K40" s="221"/>
      <c r="L40" s="222"/>
      <c r="M40" s="222"/>
      <c r="N40" s="222"/>
      <c r="O40" s="222"/>
      <c r="P40" s="207"/>
      <c r="Q40" s="207"/>
    </row>
    <row r="41" spans="2:17" x14ac:dyDescent="0.25">
      <c r="J41" s="336"/>
      <c r="K41" s="207"/>
      <c r="L41" s="207"/>
      <c r="M41" s="207"/>
      <c r="N41" s="207"/>
      <c r="O41" s="207"/>
      <c r="P41" s="207"/>
      <c r="Q41" s="207"/>
    </row>
    <row r="42" spans="2:17" x14ac:dyDescent="0.25">
      <c r="B42" s="335" t="s">
        <v>718</v>
      </c>
      <c r="C42" s="349">
        <v>38868</v>
      </c>
      <c r="D42" s="349">
        <v>38869</v>
      </c>
      <c r="E42" s="349">
        <f>+D42+31</f>
        <v>38900</v>
      </c>
      <c r="F42" s="349">
        <f>+E42+31</f>
        <v>38931</v>
      </c>
      <c r="G42" s="349">
        <f>+F42+31</f>
        <v>38962</v>
      </c>
      <c r="H42" s="336" t="s">
        <v>84</v>
      </c>
      <c r="I42" s="336" t="s">
        <v>144</v>
      </c>
      <c r="K42" s="207"/>
      <c r="L42" s="207"/>
      <c r="M42" s="207"/>
      <c r="N42" s="207"/>
      <c r="O42" s="207"/>
      <c r="P42" s="207"/>
      <c r="Q42" s="207"/>
    </row>
    <row r="43" spans="2:17" x14ac:dyDescent="0.25">
      <c r="K43" s="207"/>
      <c r="L43" s="207"/>
      <c r="M43" s="207"/>
      <c r="N43" s="207"/>
      <c r="O43" s="207"/>
      <c r="P43" s="207"/>
      <c r="Q43" s="207"/>
    </row>
    <row r="44" spans="2:17" x14ac:dyDescent="0.25">
      <c r="B44" s="335" t="s">
        <v>719</v>
      </c>
      <c r="J44" s="350"/>
      <c r="K44" s="207"/>
      <c r="L44" s="207"/>
      <c r="M44" s="207"/>
      <c r="N44" s="207"/>
      <c r="O44" s="207"/>
      <c r="Q44" s="207"/>
    </row>
    <row r="45" spans="2:17" x14ac:dyDescent="0.25">
      <c r="B45" s="202" t="s">
        <v>147</v>
      </c>
      <c r="C45" s="231"/>
      <c r="D45" s="231">
        <v>15000</v>
      </c>
      <c r="E45" s="231">
        <v>16000</v>
      </c>
      <c r="F45" s="231">
        <v>2000</v>
      </c>
      <c r="G45" s="231">
        <v>14000</v>
      </c>
      <c r="H45" s="231">
        <f>SUM(D45:G45)</f>
        <v>47000</v>
      </c>
      <c r="I45" s="350">
        <f>+H45/$H$45</f>
        <v>1</v>
      </c>
      <c r="J45" s="350"/>
      <c r="Q45" s="207"/>
    </row>
    <row r="46" spans="2:17" x14ac:dyDescent="0.25">
      <c r="B46" s="202" t="s">
        <v>148</v>
      </c>
      <c r="C46" s="231"/>
      <c r="D46" s="231">
        <v>5900</v>
      </c>
      <c r="E46" s="231">
        <v>6400</v>
      </c>
      <c r="F46" s="231">
        <v>800</v>
      </c>
      <c r="G46" s="231">
        <v>5500</v>
      </c>
      <c r="H46" s="231">
        <f>SUM(D46:G46)</f>
        <v>18600</v>
      </c>
      <c r="I46" s="350">
        <f>+H46/$H$45</f>
        <v>0.39574468085106385</v>
      </c>
      <c r="J46" s="350"/>
      <c r="K46" s="207"/>
      <c r="L46" s="207"/>
      <c r="M46" s="207"/>
      <c r="N46" s="207"/>
    </row>
    <row r="47" spans="2:17" x14ac:dyDescent="0.25">
      <c r="B47" s="202" t="s">
        <v>720</v>
      </c>
      <c r="C47" s="231"/>
      <c r="D47" s="231">
        <f>+D45-D46</f>
        <v>9100</v>
      </c>
      <c r="E47" s="231">
        <f>+E45-E46</f>
        <v>9600</v>
      </c>
      <c r="F47" s="231">
        <f>+F45-F46</f>
        <v>1200</v>
      </c>
      <c r="G47" s="231">
        <f>+G45-G46</f>
        <v>8500</v>
      </c>
      <c r="H47" s="231">
        <f>SUM(D47:G47)</f>
        <v>28400</v>
      </c>
      <c r="I47" s="350">
        <f>+H47/$H$45</f>
        <v>0.60425531914893615</v>
      </c>
    </row>
    <row r="48" spans="2:17" x14ac:dyDescent="0.25">
      <c r="B48" s="335" t="s">
        <v>722</v>
      </c>
      <c r="C48" s="231"/>
      <c r="D48" s="231"/>
      <c r="E48" s="231"/>
      <c r="F48" s="231"/>
      <c r="G48" s="231"/>
      <c r="J48" s="350"/>
      <c r="K48" s="207"/>
      <c r="L48" s="207"/>
      <c r="M48" s="207"/>
      <c r="N48" s="207"/>
    </row>
    <row r="49" spans="2:14" x14ac:dyDescent="0.25">
      <c r="B49" s="202" t="s">
        <v>147</v>
      </c>
      <c r="C49" s="231"/>
      <c r="D49" s="231">
        <v>12000</v>
      </c>
      <c r="E49" s="231">
        <v>12000</v>
      </c>
      <c r="F49" s="231"/>
      <c r="G49" s="231">
        <v>12000</v>
      </c>
      <c r="H49" s="231">
        <f>SUM(D49:G49)</f>
        <v>36000</v>
      </c>
      <c r="I49" s="350">
        <f>+H49/$H$49</f>
        <v>1</v>
      </c>
      <c r="J49" s="350"/>
    </row>
    <row r="50" spans="2:14" x14ac:dyDescent="0.25">
      <c r="B50" s="202" t="s">
        <v>148</v>
      </c>
      <c r="C50" s="231"/>
      <c r="D50" s="231">
        <v>4900</v>
      </c>
      <c r="E50" s="231">
        <v>4900</v>
      </c>
      <c r="F50" s="231"/>
      <c r="G50" s="231">
        <v>4900</v>
      </c>
      <c r="H50" s="231">
        <f>SUM(D50:G50)</f>
        <v>14700</v>
      </c>
      <c r="I50" s="350">
        <f>+H50/$H$49</f>
        <v>0.40833333333333333</v>
      </c>
      <c r="J50" s="350"/>
      <c r="K50" s="207"/>
      <c r="L50" s="207"/>
      <c r="M50" s="207"/>
      <c r="N50" s="207"/>
    </row>
    <row r="51" spans="2:14" x14ac:dyDescent="0.25">
      <c r="B51" s="202" t="s">
        <v>723</v>
      </c>
      <c r="C51" s="231"/>
      <c r="D51" s="231">
        <f>+D49-D50</f>
        <v>7100</v>
      </c>
      <c r="E51" s="231">
        <f>+E49-E50</f>
        <v>7100</v>
      </c>
      <c r="F51" s="231"/>
      <c r="G51" s="231">
        <f>+G49-G50</f>
        <v>7100</v>
      </c>
      <c r="H51" s="231">
        <f>SUM(D51:G51)</f>
        <v>21300</v>
      </c>
      <c r="I51" s="350">
        <f>+H51/$H$49</f>
        <v>0.59166666666666667</v>
      </c>
      <c r="J51" s="350"/>
    </row>
    <row r="52" spans="2:14" x14ac:dyDescent="0.25">
      <c r="B52" s="383" t="s">
        <v>724</v>
      </c>
      <c r="C52" s="400"/>
      <c r="D52" s="400">
        <f>+D47+D51</f>
        <v>16200</v>
      </c>
      <c r="E52" s="400">
        <f>+E47+E51</f>
        <v>16700</v>
      </c>
      <c r="F52" s="400">
        <f>+F47+F51</f>
        <v>1200</v>
      </c>
      <c r="G52" s="400">
        <f>+G47+G51</f>
        <v>15600</v>
      </c>
      <c r="H52" s="400">
        <f>+H47+H51</f>
        <v>49700</v>
      </c>
      <c r="J52" s="350"/>
      <c r="K52" s="207"/>
      <c r="L52" s="207"/>
      <c r="M52" s="207"/>
      <c r="N52" s="207"/>
    </row>
    <row r="53" spans="2:14" x14ac:dyDescent="0.25">
      <c r="B53" s="202" t="s">
        <v>152</v>
      </c>
      <c r="C53" s="231"/>
      <c r="D53" s="231">
        <v>9800</v>
      </c>
      <c r="E53" s="231">
        <v>9800</v>
      </c>
      <c r="F53" s="231">
        <v>9800</v>
      </c>
      <c r="G53" s="231">
        <v>9800</v>
      </c>
      <c r="H53" s="231">
        <f>SUM(D53:G53)</f>
        <v>39200</v>
      </c>
    </row>
    <row r="54" spans="2:14" x14ac:dyDescent="0.25">
      <c r="B54" s="202" t="s">
        <v>154</v>
      </c>
      <c r="C54" s="231"/>
      <c r="D54" s="231">
        <v>180</v>
      </c>
      <c r="E54" s="231">
        <v>180</v>
      </c>
      <c r="F54" s="231">
        <v>40</v>
      </c>
      <c r="G54" s="231">
        <v>200</v>
      </c>
      <c r="H54" s="231">
        <f>SUM(D54:G54)</f>
        <v>600</v>
      </c>
      <c r="K54" s="207"/>
      <c r="L54" s="207"/>
      <c r="M54" s="207"/>
      <c r="N54" s="207"/>
    </row>
    <row r="55" spans="2:14" x14ac:dyDescent="0.25">
      <c r="B55" s="202" t="s">
        <v>155</v>
      </c>
      <c r="C55" s="231"/>
      <c r="D55" s="231">
        <v>1220</v>
      </c>
      <c r="E55" s="231">
        <v>1420</v>
      </c>
      <c r="F55" s="231">
        <v>1260</v>
      </c>
      <c r="G55" s="231">
        <v>1400</v>
      </c>
      <c r="H55" s="231">
        <f>SUM(D55:G55)</f>
        <v>5300</v>
      </c>
    </row>
    <row r="56" spans="2:14" x14ac:dyDescent="0.25">
      <c r="B56" s="202" t="s">
        <v>713</v>
      </c>
      <c r="C56" s="231"/>
      <c r="D56" s="231">
        <v>1000</v>
      </c>
      <c r="E56" s="231">
        <v>1000</v>
      </c>
      <c r="F56" s="231">
        <v>1000</v>
      </c>
      <c r="G56" s="231">
        <v>1000</v>
      </c>
      <c r="H56" s="231">
        <f>SUM(D56:G56)</f>
        <v>4000</v>
      </c>
      <c r="K56" s="207"/>
      <c r="L56" s="207"/>
      <c r="M56" s="207"/>
      <c r="N56" s="207"/>
    </row>
    <row r="57" spans="2:14" x14ac:dyDescent="0.25">
      <c r="B57" s="354" t="s">
        <v>726</v>
      </c>
      <c r="C57" s="231"/>
      <c r="D57" s="355">
        <f>SUM(D53:D56)</f>
        <v>12200</v>
      </c>
      <c r="E57" s="355">
        <f>SUM(E53:E56)</f>
        <v>12400</v>
      </c>
      <c r="F57" s="355">
        <f>SUM(F53:F56)</f>
        <v>12100</v>
      </c>
      <c r="G57" s="355">
        <f>SUM(G53:G56)</f>
        <v>12400</v>
      </c>
      <c r="H57" s="355">
        <f>SUM(H53:H56)</f>
        <v>49100</v>
      </c>
    </row>
    <row r="58" spans="2:14" x14ac:dyDescent="0.25">
      <c r="B58" s="383" t="s">
        <v>158</v>
      </c>
      <c r="C58" s="400"/>
      <c r="D58" s="400">
        <f>+D52-D57</f>
        <v>4000</v>
      </c>
      <c r="E58" s="400">
        <f>+E52-E57</f>
        <v>4300</v>
      </c>
      <c r="F58" s="400">
        <f>+F52-F57</f>
        <v>-10900</v>
      </c>
      <c r="G58" s="400">
        <f>+G52-G57</f>
        <v>3200</v>
      </c>
      <c r="H58" s="400">
        <f>+H52-H57</f>
        <v>600</v>
      </c>
      <c r="K58" s="207"/>
      <c r="L58" s="207"/>
      <c r="M58" s="207"/>
      <c r="N58" s="207"/>
    </row>
    <row r="60" spans="2:14" x14ac:dyDescent="0.25">
      <c r="K60" s="207"/>
      <c r="L60" s="207"/>
      <c r="M60" s="207"/>
      <c r="N60" s="20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topLeftCell="A25" workbookViewId="0">
      <selection activeCell="J11" sqref="J11"/>
    </sheetView>
  </sheetViews>
  <sheetFormatPr baseColWidth="10" defaultColWidth="11.42578125" defaultRowHeight="15" x14ac:dyDescent="0.25"/>
  <cols>
    <col min="1" max="1" width="45.5703125" style="202" customWidth="1"/>
    <col min="2" max="6" width="11.140625" style="368" bestFit="1" customWidth="1"/>
    <col min="7" max="7" width="11.7109375" style="368" bestFit="1" customWidth="1"/>
    <col min="8" max="8" width="12.140625" style="368" bestFit="1" customWidth="1"/>
    <col min="9" max="256" width="11.42578125" style="202"/>
    <col min="257" max="257" width="45.5703125" style="202" customWidth="1"/>
    <col min="258" max="263" width="11" style="202" bestFit="1" customWidth="1"/>
    <col min="264" max="264" width="12" style="202" bestFit="1" customWidth="1"/>
    <col min="265" max="512" width="11.42578125" style="202"/>
    <col min="513" max="513" width="45.5703125" style="202" customWidth="1"/>
    <col min="514" max="519" width="11" style="202" bestFit="1" customWidth="1"/>
    <col min="520" max="520" width="12" style="202" bestFit="1" customWidth="1"/>
    <col min="521" max="768" width="11.42578125" style="202"/>
    <col min="769" max="769" width="45.5703125" style="202" customWidth="1"/>
    <col min="770" max="775" width="11" style="202" bestFit="1" customWidth="1"/>
    <col min="776" max="776" width="12" style="202" bestFit="1" customWidth="1"/>
    <col min="777" max="1024" width="11.42578125" style="202"/>
    <col min="1025" max="1025" width="45.5703125" style="202" customWidth="1"/>
    <col min="1026" max="1031" width="11" style="202" bestFit="1" customWidth="1"/>
    <col min="1032" max="1032" width="12" style="202" bestFit="1" customWidth="1"/>
    <col min="1033" max="1280" width="11.42578125" style="202"/>
    <col min="1281" max="1281" width="45.5703125" style="202" customWidth="1"/>
    <col min="1282" max="1287" width="11" style="202" bestFit="1" customWidth="1"/>
    <col min="1288" max="1288" width="12" style="202" bestFit="1" customWidth="1"/>
    <col min="1289" max="1536" width="11.42578125" style="202"/>
    <col min="1537" max="1537" width="45.5703125" style="202" customWidth="1"/>
    <col min="1538" max="1543" width="11" style="202" bestFit="1" customWidth="1"/>
    <col min="1544" max="1544" width="12" style="202" bestFit="1" customWidth="1"/>
    <col min="1545" max="1792" width="11.42578125" style="202"/>
    <col min="1793" max="1793" width="45.5703125" style="202" customWidth="1"/>
    <col min="1794" max="1799" width="11" style="202" bestFit="1" customWidth="1"/>
    <col min="1800" max="1800" width="12" style="202" bestFit="1" customWidth="1"/>
    <col min="1801" max="2048" width="11.42578125" style="202"/>
    <col min="2049" max="2049" width="45.5703125" style="202" customWidth="1"/>
    <col min="2050" max="2055" width="11" style="202" bestFit="1" customWidth="1"/>
    <col min="2056" max="2056" width="12" style="202" bestFit="1" customWidth="1"/>
    <col min="2057" max="2304" width="11.42578125" style="202"/>
    <col min="2305" max="2305" width="45.5703125" style="202" customWidth="1"/>
    <col min="2306" max="2311" width="11" style="202" bestFit="1" customWidth="1"/>
    <col min="2312" max="2312" width="12" style="202" bestFit="1" customWidth="1"/>
    <col min="2313" max="2560" width="11.42578125" style="202"/>
    <col min="2561" max="2561" width="45.5703125" style="202" customWidth="1"/>
    <col min="2562" max="2567" width="11" style="202" bestFit="1" customWidth="1"/>
    <col min="2568" max="2568" width="12" style="202" bestFit="1" customWidth="1"/>
    <col min="2569" max="2816" width="11.42578125" style="202"/>
    <col min="2817" max="2817" width="45.5703125" style="202" customWidth="1"/>
    <col min="2818" max="2823" width="11" style="202" bestFit="1" customWidth="1"/>
    <col min="2824" max="2824" width="12" style="202" bestFit="1" customWidth="1"/>
    <col min="2825" max="3072" width="11.42578125" style="202"/>
    <col min="3073" max="3073" width="45.5703125" style="202" customWidth="1"/>
    <col min="3074" max="3079" width="11" style="202" bestFit="1" customWidth="1"/>
    <col min="3080" max="3080" width="12" style="202" bestFit="1" customWidth="1"/>
    <col min="3081" max="3328" width="11.42578125" style="202"/>
    <col min="3329" max="3329" width="45.5703125" style="202" customWidth="1"/>
    <col min="3330" max="3335" width="11" style="202" bestFit="1" customWidth="1"/>
    <col min="3336" max="3336" width="12" style="202" bestFit="1" customWidth="1"/>
    <col min="3337" max="3584" width="11.42578125" style="202"/>
    <col min="3585" max="3585" width="45.5703125" style="202" customWidth="1"/>
    <col min="3586" max="3591" width="11" style="202" bestFit="1" customWidth="1"/>
    <col min="3592" max="3592" width="12" style="202" bestFit="1" customWidth="1"/>
    <col min="3593" max="3840" width="11.42578125" style="202"/>
    <col min="3841" max="3841" width="45.5703125" style="202" customWidth="1"/>
    <col min="3842" max="3847" width="11" style="202" bestFit="1" customWidth="1"/>
    <col min="3848" max="3848" width="12" style="202" bestFit="1" customWidth="1"/>
    <col min="3849" max="4096" width="11.42578125" style="202"/>
    <col min="4097" max="4097" width="45.5703125" style="202" customWidth="1"/>
    <col min="4098" max="4103" width="11" style="202" bestFit="1" customWidth="1"/>
    <col min="4104" max="4104" width="12" style="202" bestFit="1" customWidth="1"/>
    <col min="4105" max="4352" width="11.42578125" style="202"/>
    <col min="4353" max="4353" width="45.5703125" style="202" customWidth="1"/>
    <col min="4354" max="4359" width="11" style="202" bestFit="1" customWidth="1"/>
    <col min="4360" max="4360" width="12" style="202" bestFit="1" customWidth="1"/>
    <col min="4361" max="4608" width="11.42578125" style="202"/>
    <col min="4609" max="4609" width="45.5703125" style="202" customWidth="1"/>
    <col min="4610" max="4615" width="11" style="202" bestFit="1" customWidth="1"/>
    <col min="4616" max="4616" width="12" style="202" bestFit="1" customWidth="1"/>
    <col min="4617" max="4864" width="11.42578125" style="202"/>
    <col min="4865" max="4865" width="45.5703125" style="202" customWidth="1"/>
    <col min="4866" max="4871" width="11" style="202" bestFit="1" customWidth="1"/>
    <col min="4872" max="4872" width="12" style="202" bestFit="1" customWidth="1"/>
    <col min="4873" max="5120" width="11.42578125" style="202"/>
    <col min="5121" max="5121" width="45.5703125" style="202" customWidth="1"/>
    <col min="5122" max="5127" width="11" style="202" bestFit="1" customWidth="1"/>
    <col min="5128" max="5128" width="12" style="202" bestFit="1" customWidth="1"/>
    <col min="5129" max="5376" width="11.42578125" style="202"/>
    <col min="5377" max="5377" width="45.5703125" style="202" customWidth="1"/>
    <col min="5378" max="5383" width="11" style="202" bestFit="1" customWidth="1"/>
    <col min="5384" max="5384" width="12" style="202" bestFit="1" customWidth="1"/>
    <col min="5385" max="5632" width="11.42578125" style="202"/>
    <col min="5633" max="5633" width="45.5703125" style="202" customWidth="1"/>
    <col min="5634" max="5639" width="11" style="202" bestFit="1" customWidth="1"/>
    <col min="5640" max="5640" width="12" style="202" bestFit="1" customWidth="1"/>
    <col min="5641" max="5888" width="11.42578125" style="202"/>
    <col min="5889" max="5889" width="45.5703125" style="202" customWidth="1"/>
    <col min="5890" max="5895" width="11" style="202" bestFit="1" customWidth="1"/>
    <col min="5896" max="5896" width="12" style="202" bestFit="1" customWidth="1"/>
    <col min="5897" max="6144" width="11.42578125" style="202"/>
    <col min="6145" max="6145" width="45.5703125" style="202" customWidth="1"/>
    <col min="6146" max="6151" width="11" style="202" bestFit="1" customWidth="1"/>
    <col min="6152" max="6152" width="12" style="202" bestFit="1" customWidth="1"/>
    <col min="6153" max="6400" width="11.42578125" style="202"/>
    <col min="6401" max="6401" width="45.5703125" style="202" customWidth="1"/>
    <col min="6402" max="6407" width="11" style="202" bestFit="1" customWidth="1"/>
    <col min="6408" max="6408" width="12" style="202" bestFit="1" customWidth="1"/>
    <col min="6409" max="6656" width="11.42578125" style="202"/>
    <col min="6657" max="6657" width="45.5703125" style="202" customWidth="1"/>
    <col min="6658" max="6663" width="11" style="202" bestFit="1" customWidth="1"/>
    <col min="6664" max="6664" width="12" style="202" bestFit="1" customWidth="1"/>
    <col min="6665" max="6912" width="11.42578125" style="202"/>
    <col min="6913" max="6913" width="45.5703125" style="202" customWidth="1"/>
    <col min="6914" max="6919" width="11" style="202" bestFit="1" customWidth="1"/>
    <col min="6920" max="6920" width="12" style="202" bestFit="1" customWidth="1"/>
    <col min="6921" max="7168" width="11.42578125" style="202"/>
    <col min="7169" max="7169" width="45.5703125" style="202" customWidth="1"/>
    <col min="7170" max="7175" width="11" style="202" bestFit="1" customWidth="1"/>
    <col min="7176" max="7176" width="12" style="202" bestFit="1" customWidth="1"/>
    <col min="7177" max="7424" width="11.42578125" style="202"/>
    <col min="7425" max="7425" width="45.5703125" style="202" customWidth="1"/>
    <col min="7426" max="7431" width="11" style="202" bestFit="1" customWidth="1"/>
    <col min="7432" max="7432" width="12" style="202" bestFit="1" customWidth="1"/>
    <col min="7433" max="7680" width="11.42578125" style="202"/>
    <col min="7681" max="7681" width="45.5703125" style="202" customWidth="1"/>
    <col min="7682" max="7687" width="11" style="202" bestFit="1" customWidth="1"/>
    <col min="7688" max="7688" width="12" style="202" bestFit="1" customWidth="1"/>
    <col min="7689" max="7936" width="11.42578125" style="202"/>
    <col min="7937" max="7937" width="45.5703125" style="202" customWidth="1"/>
    <col min="7938" max="7943" width="11" style="202" bestFit="1" customWidth="1"/>
    <col min="7944" max="7944" width="12" style="202" bestFit="1" customWidth="1"/>
    <col min="7945" max="8192" width="11.42578125" style="202"/>
    <col min="8193" max="8193" width="45.5703125" style="202" customWidth="1"/>
    <col min="8194" max="8199" width="11" style="202" bestFit="1" customWidth="1"/>
    <col min="8200" max="8200" width="12" style="202" bestFit="1" customWidth="1"/>
    <col min="8201" max="8448" width="11.42578125" style="202"/>
    <col min="8449" max="8449" width="45.5703125" style="202" customWidth="1"/>
    <col min="8450" max="8455" width="11" style="202" bestFit="1" customWidth="1"/>
    <col min="8456" max="8456" width="12" style="202" bestFit="1" customWidth="1"/>
    <col min="8457" max="8704" width="11.42578125" style="202"/>
    <col min="8705" max="8705" width="45.5703125" style="202" customWidth="1"/>
    <col min="8706" max="8711" width="11" style="202" bestFit="1" customWidth="1"/>
    <col min="8712" max="8712" width="12" style="202" bestFit="1" customWidth="1"/>
    <col min="8713" max="8960" width="11.42578125" style="202"/>
    <col min="8961" max="8961" width="45.5703125" style="202" customWidth="1"/>
    <col min="8962" max="8967" width="11" style="202" bestFit="1" customWidth="1"/>
    <col min="8968" max="8968" width="12" style="202" bestFit="1" customWidth="1"/>
    <col min="8969" max="9216" width="11.42578125" style="202"/>
    <col min="9217" max="9217" width="45.5703125" style="202" customWidth="1"/>
    <col min="9218" max="9223" width="11" style="202" bestFit="1" customWidth="1"/>
    <col min="9224" max="9224" width="12" style="202" bestFit="1" customWidth="1"/>
    <col min="9225" max="9472" width="11.42578125" style="202"/>
    <col min="9473" max="9473" width="45.5703125" style="202" customWidth="1"/>
    <col min="9474" max="9479" width="11" style="202" bestFit="1" customWidth="1"/>
    <col min="9480" max="9480" width="12" style="202" bestFit="1" customWidth="1"/>
    <col min="9481" max="9728" width="11.42578125" style="202"/>
    <col min="9729" max="9729" width="45.5703125" style="202" customWidth="1"/>
    <col min="9730" max="9735" width="11" style="202" bestFit="1" customWidth="1"/>
    <col min="9736" max="9736" width="12" style="202" bestFit="1" customWidth="1"/>
    <col min="9737" max="9984" width="11.42578125" style="202"/>
    <col min="9985" max="9985" width="45.5703125" style="202" customWidth="1"/>
    <col min="9986" max="9991" width="11" style="202" bestFit="1" customWidth="1"/>
    <col min="9992" max="9992" width="12" style="202" bestFit="1" customWidth="1"/>
    <col min="9993" max="10240" width="11.42578125" style="202"/>
    <col min="10241" max="10241" width="45.5703125" style="202" customWidth="1"/>
    <col min="10242" max="10247" width="11" style="202" bestFit="1" customWidth="1"/>
    <col min="10248" max="10248" width="12" style="202" bestFit="1" customWidth="1"/>
    <col min="10249" max="10496" width="11.42578125" style="202"/>
    <col min="10497" max="10497" width="45.5703125" style="202" customWidth="1"/>
    <col min="10498" max="10503" width="11" style="202" bestFit="1" customWidth="1"/>
    <col min="10504" max="10504" width="12" style="202" bestFit="1" customWidth="1"/>
    <col min="10505" max="10752" width="11.42578125" style="202"/>
    <col min="10753" max="10753" width="45.5703125" style="202" customWidth="1"/>
    <col min="10754" max="10759" width="11" style="202" bestFit="1" customWidth="1"/>
    <col min="10760" max="10760" width="12" style="202" bestFit="1" customWidth="1"/>
    <col min="10761" max="11008" width="11.42578125" style="202"/>
    <col min="11009" max="11009" width="45.5703125" style="202" customWidth="1"/>
    <col min="11010" max="11015" width="11" style="202" bestFit="1" customWidth="1"/>
    <col min="11016" max="11016" width="12" style="202" bestFit="1" customWidth="1"/>
    <col min="11017" max="11264" width="11.42578125" style="202"/>
    <col min="11265" max="11265" width="45.5703125" style="202" customWidth="1"/>
    <col min="11266" max="11271" width="11" style="202" bestFit="1" customWidth="1"/>
    <col min="11272" max="11272" width="12" style="202" bestFit="1" customWidth="1"/>
    <col min="11273" max="11520" width="11.42578125" style="202"/>
    <col min="11521" max="11521" width="45.5703125" style="202" customWidth="1"/>
    <col min="11522" max="11527" width="11" style="202" bestFit="1" customWidth="1"/>
    <col min="11528" max="11528" width="12" style="202" bestFit="1" customWidth="1"/>
    <col min="11529" max="11776" width="11.42578125" style="202"/>
    <col min="11777" max="11777" width="45.5703125" style="202" customWidth="1"/>
    <col min="11778" max="11783" width="11" style="202" bestFit="1" customWidth="1"/>
    <col min="11784" max="11784" width="12" style="202" bestFit="1" customWidth="1"/>
    <col min="11785" max="12032" width="11.42578125" style="202"/>
    <col min="12033" max="12033" width="45.5703125" style="202" customWidth="1"/>
    <col min="12034" max="12039" width="11" style="202" bestFit="1" customWidth="1"/>
    <col min="12040" max="12040" width="12" style="202" bestFit="1" customWidth="1"/>
    <col min="12041" max="12288" width="11.42578125" style="202"/>
    <col min="12289" max="12289" width="45.5703125" style="202" customWidth="1"/>
    <col min="12290" max="12295" width="11" style="202" bestFit="1" customWidth="1"/>
    <col min="12296" max="12296" width="12" style="202" bestFit="1" customWidth="1"/>
    <col min="12297" max="12544" width="11.42578125" style="202"/>
    <col min="12545" max="12545" width="45.5703125" style="202" customWidth="1"/>
    <col min="12546" max="12551" width="11" style="202" bestFit="1" customWidth="1"/>
    <col min="12552" max="12552" width="12" style="202" bestFit="1" customWidth="1"/>
    <col min="12553" max="12800" width="11.42578125" style="202"/>
    <col min="12801" max="12801" width="45.5703125" style="202" customWidth="1"/>
    <col min="12802" max="12807" width="11" style="202" bestFit="1" customWidth="1"/>
    <col min="12808" max="12808" width="12" style="202" bestFit="1" customWidth="1"/>
    <col min="12809" max="13056" width="11.42578125" style="202"/>
    <col min="13057" max="13057" width="45.5703125" style="202" customWidth="1"/>
    <col min="13058" max="13063" width="11" style="202" bestFit="1" customWidth="1"/>
    <col min="13064" max="13064" width="12" style="202" bestFit="1" customWidth="1"/>
    <col min="13065" max="13312" width="11.42578125" style="202"/>
    <col min="13313" max="13313" width="45.5703125" style="202" customWidth="1"/>
    <col min="13314" max="13319" width="11" style="202" bestFit="1" customWidth="1"/>
    <col min="13320" max="13320" width="12" style="202" bestFit="1" customWidth="1"/>
    <col min="13321" max="13568" width="11.42578125" style="202"/>
    <col min="13569" max="13569" width="45.5703125" style="202" customWidth="1"/>
    <col min="13570" max="13575" width="11" style="202" bestFit="1" customWidth="1"/>
    <col min="13576" max="13576" width="12" style="202" bestFit="1" customWidth="1"/>
    <col min="13577" max="13824" width="11.42578125" style="202"/>
    <col min="13825" max="13825" width="45.5703125" style="202" customWidth="1"/>
    <col min="13826" max="13831" width="11" style="202" bestFit="1" customWidth="1"/>
    <col min="13832" max="13832" width="12" style="202" bestFit="1" customWidth="1"/>
    <col min="13833" max="14080" width="11.42578125" style="202"/>
    <col min="14081" max="14081" width="45.5703125" style="202" customWidth="1"/>
    <col min="14082" max="14087" width="11" style="202" bestFit="1" customWidth="1"/>
    <col min="14088" max="14088" width="12" style="202" bestFit="1" customWidth="1"/>
    <col min="14089" max="14336" width="11.42578125" style="202"/>
    <col min="14337" max="14337" width="45.5703125" style="202" customWidth="1"/>
    <col min="14338" max="14343" width="11" style="202" bestFit="1" customWidth="1"/>
    <col min="14344" max="14344" width="12" style="202" bestFit="1" customWidth="1"/>
    <col min="14345" max="14592" width="11.42578125" style="202"/>
    <col min="14593" max="14593" width="45.5703125" style="202" customWidth="1"/>
    <col min="14594" max="14599" width="11" style="202" bestFit="1" customWidth="1"/>
    <col min="14600" max="14600" width="12" style="202" bestFit="1" customWidth="1"/>
    <col min="14601" max="14848" width="11.42578125" style="202"/>
    <col min="14849" max="14849" width="45.5703125" style="202" customWidth="1"/>
    <col min="14850" max="14855" width="11" style="202" bestFit="1" customWidth="1"/>
    <col min="14856" max="14856" width="12" style="202" bestFit="1" customWidth="1"/>
    <col min="14857" max="15104" width="11.42578125" style="202"/>
    <col min="15105" max="15105" width="45.5703125" style="202" customWidth="1"/>
    <col min="15106" max="15111" width="11" style="202" bestFit="1" customWidth="1"/>
    <col min="15112" max="15112" width="12" style="202" bestFit="1" customWidth="1"/>
    <col min="15113" max="15360" width="11.42578125" style="202"/>
    <col min="15361" max="15361" width="45.5703125" style="202" customWidth="1"/>
    <col min="15362" max="15367" width="11" style="202" bestFit="1" customWidth="1"/>
    <col min="15368" max="15368" width="12" style="202" bestFit="1" customWidth="1"/>
    <col min="15369" max="15616" width="11.42578125" style="202"/>
    <col min="15617" max="15617" width="45.5703125" style="202" customWidth="1"/>
    <col min="15618" max="15623" width="11" style="202" bestFit="1" customWidth="1"/>
    <col min="15624" max="15624" width="12" style="202" bestFit="1" customWidth="1"/>
    <col min="15625" max="15872" width="11.42578125" style="202"/>
    <col min="15873" max="15873" width="45.5703125" style="202" customWidth="1"/>
    <col min="15874" max="15879" width="11" style="202" bestFit="1" customWidth="1"/>
    <col min="15880" max="15880" width="12" style="202" bestFit="1" customWidth="1"/>
    <col min="15881" max="16128" width="11.42578125" style="202"/>
    <col min="16129" max="16129" width="45.5703125" style="202" customWidth="1"/>
    <col min="16130" max="16135" width="11" style="202" bestFit="1" customWidth="1"/>
    <col min="16136" max="16136" width="12" style="202" bestFit="1" customWidth="1"/>
    <col min="16137" max="16384" width="11.42578125" style="202"/>
  </cols>
  <sheetData>
    <row r="1" spans="1:8" ht="18.75" x14ac:dyDescent="0.3">
      <c r="A1" s="365" t="s">
        <v>87</v>
      </c>
      <c r="B1" s="366"/>
      <c r="C1" s="366"/>
      <c r="D1" s="366"/>
      <c r="E1" s="366"/>
      <c r="F1" s="366"/>
      <c r="G1" s="366"/>
      <c r="H1" s="367"/>
    </row>
    <row r="2" spans="1:8" ht="15.75" thickBot="1" x14ac:dyDescent="0.3"/>
    <row r="3" spans="1:8" x14ac:dyDescent="0.25">
      <c r="A3" s="203" t="s">
        <v>88</v>
      </c>
      <c r="B3" s="219"/>
      <c r="C3" s="219"/>
      <c r="D3" s="219"/>
      <c r="E3" s="219"/>
      <c r="F3" s="219"/>
      <c r="G3" s="219"/>
      <c r="H3" s="220"/>
    </row>
    <row r="4" spans="1:8" x14ac:dyDescent="0.25">
      <c r="A4" s="206" t="s">
        <v>236</v>
      </c>
      <c r="B4" s="216"/>
      <c r="C4" s="369" t="s">
        <v>89</v>
      </c>
      <c r="D4" s="369" t="s">
        <v>90</v>
      </c>
      <c r="E4" s="369" t="s">
        <v>91</v>
      </c>
      <c r="F4" s="369" t="s">
        <v>92</v>
      </c>
      <c r="G4" s="369" t="s">
        <v>93</v>
      </c>
      <c r="H4" s="370" t="s">
        <v>84</v>
      </c>
    </row>
    <row r="5" spans="1:8" x14ac:dyDescent="0.25">
      <c r="A5" s="211" t="s">
        <v>94</v>
      </c>
      <c r="B5" s="216">
        <v>4000</v>
      </c>
      <c r="C5" s="216"/>
      <c r="D5" s="216"/>
      <c r="E5" s="216"/>
      <c r="F5" s="216"/>
      <c r="G5" s="216"/>
      <c r="H5" s="217">
        <f>SUM(B5:G5)</f>
        <v>4000</v>
      </c>
    </row>
    <row r="6" spans="1:8" x14ac:dyDescent="0.25">
      <c r="A6" s="211" t="s">
        <v>95</v>
      </c>
      <c r="B6" s="216"/>
      <c r="C6" s="216">
        <v>1200</v>
      </c>
      <c r="D6" s="216"/>
      <c r="E6" s="216"/>
      <c r="F6" s="216"/>
      <c r="G6" s="216"/>
      <c r="H6" s="217">
        <f>SUM(B6:G6)</f>
        <v>1200</v>
      </c>
    </row>
    <row r="7" spans="1:8" x14ac:dyDescent="0.25">
      <c r="A7" s="211" t="s">
        <v>96</v>
      </c>
      <c r="B7" s="216"/>
      <c r="C7" s="216">
        <f>2500+1260</f>
        <v>3760</v>
      </c>
      <c r="D7" s="216"/>
      <c r="E7" s="216">
        <v>2000</v>
      </c>
      <c r="F7" s="216">
        <v>2000</v>
      </c>
      <c r="G7" s="216">
        <v>2500</v>
      </c>
      <c r="H7" s="217">
        <f>SUM(B7:G7)</f>
        <v>10260</v>
      </c>
    </row>
    <row r="8" spans="1:8" x14ac:dyDescent="0.25">
      <c r="A8" s="358" t="s">
        <v>97</v>
      </c>
      <c r="B8" s="371"/>
      <c r="C8" s="371"/>
      <c r="D8" s="371"/>
      <c r="E8" s="371"/>
      <c r="F8" s="371"/>
      <c r="G8" s="371"/>
      <c r="H8" s="372">
        <f>SUM(H5:H7)</f>
        <v>15460</v>
      </c>
    </row>
    <row r="9" spans="1:8" x14ac:dyDescent="0.25">
      <c r="A9" s="211" t="s">
        <v>98</v>
      </c>
      <c r="B9" s="216"/>
      <c r="C9" s="216">
        <v>3000</v>
      </c>
      <c r="D9" s="216"/>
      <c r="E9" s="216">
        <v>2200</v>
      </c>
      <c r="F9" s="216">
        <v>2500</v>
      </c>
      <c r="G9" s="216">
        <v>3000</v>
      </c>
      <c r="H9" s="217">
        <f>SUM(C9:G9)</f>
        <v>10700</v>
      </c>
    </row>
    <row r="10" spans="1:8" x14ac:dyDescent="0.25">
      <c r="A10" s="211" t="s">
        <v>99</v>
      </c>
      <c r="B10" s="216"/>
      <c r="C10" s="216">
        <v>3000</v>
      </c>
      <c r="D10" s="216"/>
      <c r="E10" s="216">
        <v>3000</v>
      </c>
      <c r="F10" s="216">
        <v>3000</v>
      </c>
      <c r="G10" s="216">
        <v>3500</v>
      </c>
      <c r="H10" s="217">
        <f>SUM(C10:G10)</f>
        <v>12500</v>
      </c>
    </row>
    <row r="11" spans="1:8" x14ac:dyDescent="0.25">
      <c r="A11" s="211" t="s">
        <v>100</v>
      </c>
      <c r="B11" s="216"/>
      <c r="C11" s="216"/>
      <c r="D11" s="216"/>
      <c r="E11" s="216"/>
      <c r="F11" s="216"/>
      <c r="G11" s="216"/>
      <c r="H11" s="373">
        <f>+H25</f>
        <v>2.5751072961373356E-2</v>
      </c>
    </row>
    <row r="12" spans="1:8" x14ac:dyDescent="0.25">
      <c r="A12" s="211" t="s">
        <v>101</v>
      </c>
      <c r="B12" s="216"/>
      <c r="C12" s="216"/>
      <c r="D12" s="216"/>
      <c r="E12" s="216"/>
      <c r="F12" s="216"/>
      <c r="G12" s="216"/>
      <c r="H12" s="217">
        <f>+H10*H24</f>
        <v>12178.111587982834</v>
      </c>
    </row>
    <row r="13" spans="1:8" x14ac:dyDescent="0.25">
      <c r="A13" s="358" t="s">
        <v>102</v>
      </c>
      <c r="B13" s="371"/>
      <c r="C13" s="371"/>
      <c r="D13" s="371"/>
      <c r="E13" s="371"/>
      <c r="F13" s="371"/>
      <c r="G13" s="371"/>
      <c r="H13" s="372">
        <f>+H12-H9</f>
        <v>1478.111587982834</v>
      </c>
    </row>
    <row r="14" spans="1:8" x14ac:dyDescent="0.25">
      <c r="A14" s="211" t="s">
        <v>103</v>
      </c>
      <c r="B14" s="216"/>
      <c r="C14" s="216"/>
      <c r="D14" s="216"/>
      <c r="E14" s="216"/>
      <c r="F14" s="216"/>
      <c r="G14" s="216"/>
      <c r="H14" s="217"/>
    </row>
    <row r="15" spans="1:8" ht="15.75" thickBot="1" x14ac:dyDescent="0.3">
      <c r="A15" s="270" t="s">
        <v>104</v>
      </c>
      <c r="B15" s="374"/>
      <c r="C15" s="374"/>
      <c r="D15" s="374"/>
      <c r="E15" s="374"/>
      <c r="F15" s="374"/>
      <c r="G15" s="374"/>
      <c r="H15" s="375">
        <f>+H8+H13</f>
        <v>16938.111587982836</v>
      </c>
    </row>
    <row r="17" spans="1:8" x14ac:dyDescent="0.25">
      <c r="A17" s="335" t="s">
        <v>105</v>
      </c>
    </row>
    <row r="18" spans="1:8" x14ac:dyDescent="0.25">
      <c r="A18" s="376" t="s">
        <v>106</v>
      </c>
      <c r="B18" s="377" t="s">
        <v>89</v>
      </c>
      <c r="C18" s="377" t="s">
        <v>90</v>
      </c>
      <c r="D18" s="377" t="s">
        <v>91</v>
      </c>
      <c r="E18" s="377" t="s">
        <v>92</v>
      </c>
      <c r="F18" s="377" t="s">
        <v>93</v>
      </c>
      <c r="G18" s="378" t="s">
        <v>84</v>
      </c>
    </row>
    <row r="19" spans="1:8" x14ac:dyDescent="0.25">
      <c r="A19" s="202" t="s">
        <v>107</v>
      </c>
      <c r="B19" s="379">
        <v>3000</v>
      </c>
      <c r="C19" s="368">
        <v>3000</v>
      </c>
      <c r="D19" s="368">
        <v>3000</v>
      </c>
      <c r="E19" s="368">
        <v>3000</v>
      </c>
      <c r="F19" s="368">
        <v>3500</v>
      </c>
      <c r="G19" s="368">
        <f>SUM(C19:F19)</f>
        <v>12500</v>
      </c>
      <c r="H19" s="380">
        <v>1</v>
      </c>
    </row>
    <row r="20" spans="1:8" x14ac:dyDescent="0.25">
      <c r="A20" s="202" t="s">
        <v>108</v>
      </c>
      <c r="C20" s="368">
        <v>2800</v>
      </c>
      <c r="D20" s="368">
        <v>3000</v>
      </c>
      <c r="E20" s="368">
        <v>3000</v>
      </c>
      <c r="F20" s="368">
        <v>3500</v>
      </c>
      <c r="G20" s="368">
        <f>SUM(C20:F20)</f>
        <v>12300</v>
      </c>
      <c r="H20" s="380">
        <f>+G20/G19</f>
        <v>0.98399999999999999</v>
      </c>
    </row>
    <row r="21" spans="1:8" x14ac:dyDescent="0.25">
      <c r="A21" s="202" t="s">
        <v>109</v>
      </c>
      <c r="H21" s="380">
        <f>+H19-H20</f>
        <v>1.6000000000000014E-2</v>
      </c>
    </row>
    <row r="22" spans="1:8" x14ac:dyDescent="0.25">
      <c r="A22" s="376" t="s">
        <v>110</v>
      </c>
      <c r="B22" s="377" t="s">
        <v>89</v>
      </c>
      <c r="C22" s="377" t="s">
        <v>90</v>
      </c>
      <c r="D22" s="377" t="s">
        <v>91</v>
      </c>
      <c r="E22" s="377" t="s">
        <v>92</v>
      </c>
      <c r="F22" s="377" t="s">
        <v>93</v>
      </c>
      <c r="G22" s="378" t="s">
        <v>84</v>
      </c>
      <c r="H22" s="350"/>
    </row>
    <row r="23" spans="1:8" x14ac:dyDescent="0.25">
      <c r="A23" s="202" t="s">
        <v>107</v>
      </c>
      <c r="B23" s="368">
        <v>2800</v>
      </c>
      <c r="C23" s="379">
        <v>2800</v>
      </c>
      <c r="D23" s="368">
        <v>2800</v>
      </c>
      <c r="E23" s="368">
        <v>2800</v>
      </c>
      <c r="F23" s="368">
        <v>3250</v>
      </c>
      <c r="G23" s="368">
        <f>SUM(B23:F23)-C23</f>
        <v>11650</v>
      </c>
      <c r="H23" s="380">
        <v>1</v>
      </c>
    </row>
    <row r="24" spans="1:8" x14ac:dyDescent="0.25">
      <c r="A24" s="202" t="s">
        <v>108</v>
      </c>
      <c r="B24" s="368">
        <v>2800</v>
      </c>
      <c r="D24" s="368">
        <v>2500</v>
      </c>
      <c r="E24" s="368">
        <v>2800</v>
      </c>
      <c r="F24" s="368">
        <v>3250</v>
      </c>
      <c r="G24" s="368">
        <f>SUM(B24:F24)-C24</f>
        <v>11350</v>
      </c>
      <c r="H24" s="380">
        <f>+G24/G23</f>
        <v>0.97424892703862664</v>
      </c>
    </row>
    <row r="25" spans="1:8" x14ac:dyDescent="0.25">
      <c r="A25" s="202" t="s">
        <v>109</v>
      </c>
      <c r="H25" s="381">
        <f>+H23-H24</f>
        <v>2.5751072961373356E-2</v>
      </c>
    </row>
    <row r="26" spans="1:8" x14ac:dyDescent="0.25">
      <c r="H26" s="216"/>
    </row>
    <row r="27" spans="1:8" ht="18.75" x14ac:dyDescent="0.3">
      <c r="A27" s="365" t="s">
        <v>87</v>
      </c>
      <c r="B27" s="366" t="s">
        <v>111</v>
      </c>
      <c r="C27" s="366"/>
      <c r="D27" s="366"/>
      <c r="E27" s="366"/>
      <c r="F27" s="366"/>
      <c r="G27" s="366"/>
      <c r="H27" s="367"/>
    </row>
    <row r="28" spans="1:8" x14ac:dyDescent="0.25">
      <c r="H28" s="216"/>
    </row>
    <row r="30" spans="1:8" x14ac:dyDescent="0.25">
      <c r="A30" s="335" t="s">
        <v>112</v>
      </c>
      <c r="B30" s="382"/>
      <c r="C30" s="382"/>
      <c r="D30" s="382"/>
      <c r="E30" s="382"/>
    </row>
    <row r="31" spans="1:8" x14ac:dyDescent="0.25">
      <c r="A31" s="383" t="s">
        <v>113</v>
      </c>
      <c r="B31" s="377" t="s">
        <v>89</v>
      </c>
      <c r="C31" s="377" t="s">
        <v>90</v>
      </c>
      <c r="D31" s="377" t="s">
        <v>91</v>
      </c>
      <c r="E31" s="377" t="s">
        <v>92</v>
      </c>
      <c r="F31" s="377" t="s">
        <v>93</v>
      </c>
      <c r="G31" s="378"/>
    </row>
    <row r="32" spans="1:8" x14ac:dyDescent="0.25">
      <c r="A32" s="202" t="s">
        <v>114</v>
      </c>
      <c r="B32" s="368">
        <v>10</v>
      </c>
      <c r="C32" s="368">
        <v>10</v>
      </c>
      <c r="D32" s="368">
        <v>10</v>
      </c>
      <c r="E32" s="368">
        <v>10</v>
      </c>
      <c r="F32" s="368">
        <v>10</v>
      </c>
    </row>
    <row r="33" spans="1:14" x14ac:dyDescent="0.25">
      <c r="A33" s="202" t="s">
        <v>107</v>
      </c>
      <c r="B33" s="368">
        <v>3000</v>
      </c>
      <c r="C33" s="368">
        <v>3000</v>
      </c>
      <c r="D33" s="368">
        <v>3000</v>
      </c>
      <c r="E33" s="368">
        <v>3000</v>
      </c>
      <c r="F33" s="368">
        <v>3500</v>
      </c>
    </row>
    <row r="34" spans="1:14" x14ac:dyDescent="0.25">
      <c r="A34" s="202" t="s">
        <v>115</v>
      </c>
      <c r="B34" s="368">
        <v>1400</v>
      </c>
      <c r="C34" s="368">
        <v>1400</v>
      </c>
      <c r="D34" s="368">
        <v>1400</v>
      </c>
      <c r="E34" s="368">
        <v>1400</v>
      </c>
      <c r="F34" s="368">
        <v>1540</v>
      </c>
    </row>
    <row r="35" spans="1:14" x14ac:dyDescent="0.25">
      <c r="A35" s="376" t="s">
        <v>116</v>
      </c>
      <c r="G35" s="378" t="s">
        <v>84</v>
      </c>
    </row>
    <row r="36" spans="1:14" x14ac:dyDescent="0.25">
      <c r="A36" s="202" t="s">
        <v>108</v>
      </c>
      <c r="B36" s="368">
        <v>3000</v>
      </c>
      <c r="D36" s="368">
        <f>+D33</f>
        <v>3000</v>
      </c>
      <c r="E36" s="368">
        <f>+E33</f>
        <v>3000</v>
      </c>
      <c r="F36" s="368">
        <f>+F33</f>
        <v>3500</v>
      </c>
      <c r="G36" s="368">
        <f>+SUM(B36:F36)</f>
        <v>12500</v>
      </c>
    </row>
    <row r="37" spans="1:14" x14ac:dyDescent="0.25">
      <c r="A37" s="202" t="s">
        <v>117</v>
      </c>
      <c r="G37" s="368">
        <f>-H25*G36</f>
        <v>-321.88841201716696</v>
      </c>
      <c r="H37" s="380">
        <f>+H25</f>
        <v>2.5751072961373356E-2</v>
      </c>
    </row>
    <row r="38" spans="1:14" x14ac:dyDescent="0.25">
      <c r="A38" s="202" t="s">
        <v>118</v>
      </c>
      <c r="B38" s="368">
        <v>1400</v>
      </c>
      <c r="D38" s="368">
        <v>1400</v>
      </c>
      <c r="E38" s="368">
        <v>1400</v>
      </c>
      <c r="F38" s="368">
        <f>220*7</f>
        <v>1540</v>
      </c>
      <c r="G38" s="368">
        <f>+SUM(B38:F38)</f>
        <v>5740</v>
      </c>
    </row>
    <row r="39" spans="1:14" x14ac:dyDescent="0.25">
      <c r="A39" s="376" t="s">
        <v>119</v>
      </c>
    </row>
    <row r="40" spans="1:14" x14ac:dyDescent="0.25">
      <c r="A40" s="202" t="s">
        <v>120</v>
      </c>
      <c r="B40" s="368">
        <v>1500</v>
      </c>
      <c r="C40" s="368">
        <v>1500</v>
      </c>
      <c r="D40" s="368">
        <v>1500</v>
      </c>
      <c r="E40" s="368">
        <v>1500</v>
      </c>
      <c r="F40" s="368">
        <v>1500</v>
      </c>
      <c r="G40" s="368">
        <f>+SUM(B40:F40)</f>
        <v>7500</v>
      </c>
    </row>
    <row r="41" spans="1:14" x14ac:dyDescent="0.25">
      <c r="A41" s="376" t="s">
        <v>121</v>
      </c>
      <c r="B41" s="384"/>
      <c r="C41" s="384"/>
      <c r="D41" s="384"/>
      <c r="E41" s="384"/>
      <c r="F41" s="384"/>
      <c r="G41" s="385">
        <f>+G36+G37+G38-G40</f>
        <v>10418.111587982832</v>
      </c>
    </row>
    <row r="43" spans="1:14" x14ac:dyDescent="0.25">
      <c r="A43" s="335" t="s">
        <v>201</v>
      </c>
    </row>
    <row r="44" spans="1:14" x14ac:dyDescent="0.25">
      <c r="A44" s="383" t="s">
        <v>113</v>
      </c>
      <c r="B44" s="377" t="s">
        <v>89</v>
      </c>
      <c r="C44" s="377" t="s">
        <v>90</v>
      </c>
      <c r="D44" s="377" t="s">
        <v>91</v>
      </c>
      <c r="E44" s="377" t="s">
        <v>92</v>
      </c>
      <c r="F44" s="377" t="s">
        <v>93</v>
      </c>
      <c r="G44" s="378" t="s">
        <v>84</v>
      </c>
    </row>
    <row r="45" spans="1:14" x14ac:dyDescent="0.25">
      <c r="A45" s="202" t="s">
        <v>114</v>
      </c>
      <c r="B45" s="368">
        <v>10</v>
      </c>
      <c r="C45" s="368">
        <v>10</v>
      </c>
      <c r="D45" s="368">
        <v>10</v>
      </c>
      <c r="E45" s="368">
        <v>10</v>
      </c>
      <c r="F45" s="368">
        <v>10</v>
      </c>
    </row>
    <row r="46" spans="1:14" x14ac:dyDescent="0.25">
      <c r="A46" s="202" t="s">
        <v>107</v>
      </c>
      <c r="B46" s="368">
        <v>3000</v>
      </c>
      <c r="C46" s="368">
        <v>3000</v>
      </c>
      <c r="D46" s="368">
        <v>3000</v>
      </c>
      <c r="E46" s="368">
        <v>3000</v>
      </c>
      <c r="F46" s="368">
        <v>3500</v>
      </c>
      <c r="J46" s="368"/>
      <c r="K46" s="368"/>
      <c r="L46" s="368"/>
      <c r="M46" s="368"/>
      <c r="N46" s="368"/>
    </row>
    <row r="47" spans="1:14" x14ac:dyDescent="0.25">
      <c r="A47" s="202" t="s">
        <v>115</v>
      </c>
      <c r="B47" s="368">
        <v>1400</v>
      </c>
      <c r="C47" s="368">
        <v>1400</v>
      </c>
      <c r="D47" s="368">
        <v>1400</v>
      </c>
      <c r="E47" s="368">
        <v>1400</v>
      </c>
      <c r="F47" s="368">
        <v>1540</v>
      </c>
      <c r="J47" s="368"/>
      <c r="K47" s="368"/>
      <c r="L47" s="368"/>
      <c r="M47" s="368"/>
      <c r="N47" s="368"/>
    </row>
    <row r="48" spans="1:14" x14ac:dyDescent="0.25">
      <c r="A48" s="376" t="s">
        <v>116</v>
      </c>
      <c r="J48" s="368"/>
      <c r="K48" s="368"/>
      <c r="L48" s="368"/>
      <c r="M48" s="368"/>
      <c r="N48" s="368"/>
    </row>
    <row r="49" spans="1:14" x14ac:dyDescent="0.25">
      <c r="A49" s="202" t="s">
        <v>108</v>
      </c>
      <c r="B49" s="368">
        <v>3000</v>
      </c>
      <c r="D49" s="368">
        <v>2200</v>
      </c>
      <c r="E49" s="368">
        <v>2500</v>
      </c>
      <c r="F49" s="368">
        <v>3000</v>
      </c>
      <c r="G49" s="368">
        <f>+SUM(B49:F49)</f>
        <v>10700</v>
      </c>
      <c r="H49" s="386"/>
      <c r="J49" s="368"/>
      <c r="K49" s="368"/>
      <c r="L49" s="368"/>
      <c r="M49" s="368"/>
      <c r="N49" s="368"/>
    </row>
    <row r="50" spans="1:14" x14ac:dyDescent="0.25">
      <c r="A50" s="202" t="s">
        <v>118</v>
      </c>
      <c r="B50" s="368">
        <v>1400</v>
      </c>
      <c r="D50" s="368">
        <v>1400</v>
      </c>
      <c r="E50" s="368">
        <v>1400</v>
      </c>
      <c r="F50" s="368">
        <f>220*7</f>
        <v>1540</v>
      </c>
      <c r="G50" s="368">
        <f>+SUM(B50:F50)</f>
        <v>5740</v>
      </c>
      <c r="J50" s="368"/>
      <c r="K50" s="368"/>
      <c r="L50" s="368"/>
      <c r="M50" s="368"/>
      <c r="N50" s="368"/>
    </row>
    <row r="51" spans="1:14" x14ac:dyDescent="0.25">
      <c r="A51" s="376" t="s">
        <v>119</v>
      </c>
      <c r="J51" s="368"/>
      <c r="K51" s="368"/>
      <c r="L51" s="368"/>
      <c r="M51" s="368"/>
      <c r="N51" s="368"/>
    </row>
    <row r="52" spans="1:14" x14ac:dyDescent="0.25">
      <c r="A52" s="202" t="s">
        <v>95</v>
      </c>
      <c r="B52" s="368">
        <v>1200</v>
      </c>
      <c r="G52" s="368">
        <f>+SUM(B52:F52)</f>
        <v>1200</v>
      </c>
      <c r="J52" s="368"/>
      <c r="K52" s="368"/>
      <c r="L52" s="368"/>
      <c r="M52" s="368"/>
      <c r="N52" s="368"/>
    </row>
    <row r="53" spans="1:14" x14ac:dyDescent="0.25">
      <c r="A53" s="202" t="s">
        <v>96</v>
      </c>
      <c r="B53" s="368">
        <f>2500+1260</f>
        <v>3760</v>
      </c>
      <c r="D53" s="368">
        <v>2000</v>
      </c>
      <c r="E53" s="368">
        <v>2000</v>
      </c>
      <c r="F53" s="368">
        <v>2500</v>
      </c>
      <c r="G53" s="368">
        <f>+SUM(B53:F53)</f>
        <v>10260</v>
      </c>
      <c r="J53" s="368"/>
      <c r="K53" s="368"/>
      <c r="L53" s="368"/>
      <c r="M53" s="368"/>
      <c r="N53" s="368"/>
    </row>
    <row r="54" spans="1:14" x14ac:dyDescent="0.25">
      <c r="A54" s="202" t="s">
        <v>120</v>
      </c>
      <c r="B54" s="368">
        <v>1500</v>
      </c>
      <c r="C54" s="368">
        <v>1500</v>
      </c>
      <c r="D54" s="368">
        <v>1500</v>
      </c>
      <c r="E54" s="368">
        <v>1500</v>
      </c>
      <c r="F54" s="368">
        <v>1500</v>
      </c>
      <c r="G54" s="368">
        <f>+SUM(B54:F54)</f>
        <v>7500</v>
      </c>
      <c r="J54" s="368"/>
      <c r="K54" s="368"/>
      <c r="L54" s="368"/>
      <c r="M54" s="368"/>
      <c r="N54" s="368"/>
    </row>
    <row r="55" spans="1:14" x14ac:dyDescent="0.25">
      <c r="A55" s="376" t="s">
        <v>121</v>
      </c>
      <c r="B55" s="384">
        <f>+B49+B50-B52-B53-B54</f>
        <v>-2060</v>
      </c>
      <c r="C55" s="384">
        <f>+C49+C50-C52-C53-C54</f>
        <v>-1500</v>
      </c>
      <c r="D55" s="384">
        <f>+D49+D50-D52-D53-D54</f>
        <v>100</v>
      </c>
      <c r="E55" s="384">
        <f>+E49+E50-E52-E53-E54</f>
        <v>400</v>
      </c>
      <c r="F55" s="384">
        <f>+F49+F50-F52-F53-F54</f>
        <v>540</v>
      </c>
      <c r="G55" s="385">
        <f>SUM(B55:F55)</f>
        <v>-2520</v>
      </c>
      <c r="J55" s="368"/>
      <c r="K55" s="368"/>
      <c r="L55" s="368"/>
      <c r="M55" s="368"/>
      <c r="N55" s="368"/>
    </row>
    <row r="56" spans="1:14" x14ac:dyDescent="0.25">
      <c r="J56" s="368"/>
      <c r="K56" s="368"/>
      <c r="L56" s="368"/>
      <c r="M56" s="368"/>
      <c r="N56" s="368"/>
    </row>
    <row r="57" spans="1:14" ht="15.75" thickBot="1" x14ac:dyDescent="0.3">
      <c r="J57" s="368"/>
      <c r="K57" s="368"/>
      <c r="L57" s="368"/>
      <c r="M57" s="368"/>
      <c r="N57" s="368"/>
    </row>
    <row r="58" spans="1:14" x14ac:dyDescent="0.25">
      <c r="A58" s="387" t="s">
        <v>102</v>
      </c>
      <c r="B58" s="388"/>
      <c r="C58" s="388"/>
      <c r="D58" s="388"/>
      <c r="E58" s="388"/>
      <c r="F58" s="388"/>
      <c r="G58" s="389">
        <f>+G41-G55</f>
        <v>12938.111587982832</v>
      </c>
      <c r="J58" s="368"/>
      <c r="K58" s="368"/>
      <c r="L58" s="368"/>
      <c r="M58" s="368"/>
      <c r="N58" s="368"/>
    </row>
    <row r="59" spans="1:14" x14ac:dyDescent="0.25">
      <c r="A59" s="206" t="s">
        <v>122</v>
      </c>
      <c r="B59" s="216"/>
      <c r="C59" s="216"/>
      <c r="D59" s="216"/>
      <c r="E59" s="216"/>
      <c r="F59" s="216"/>
      <c r="G59" s="390">
        <v>4000</v>
      </c>
      <c r="J59" s="368"/>
      <c r="K59" s="368"/>
      <c r="L59" s="368"/>
      <c r="M59" s="368"/>
      <c r="N59" s="368"/>
    </row>
    <row r="60" spans="1:14" ht="15.75" thickBot="1" x14ac:dyDescent="0.3">
      <c r="A60" s="391" t="s">
        <v>104</v>
      </c>
      <c r="B60" s="392"/>
      <c r="C60" s="392"/>
      <c r="D60" s="392"/>
      <c r="E60" s="392"/>
      <c r="F60" s="392"/>
      <c r="G60" s="393">
        <f>+G58+G59</f>
        <v>16938.111587982832</v>
      </c>
      <c r="J60" s="368"/>
      <c r="K60" s="368"/>
      <c r="L60" s="368"/>
      <c r="M60" s="368"/>
      <c r="N60" s="368"/>
    </row>
    <row r="61" spans="1:14" x14ac:dyDescent="0.25">
      <c r="J61" s="368"/>
      <c r="K61" s="368"/>
      <c r="L61" s="368"/>
      <c r="M61" s="368"/>
      <c r="N61" s="368"/>
    </row>
    <row r="62" spans="1:14" x14ac:dyDescent="0.25">
      <c r="J62" s="368"/>
      <c r="K62" s="368"/>
      <c r="L62" s="368"/>
      <c r="M62" s="368"/>
      <c r="N62" s="368"/>
    </row>
    <row r="63" spans="1:14" x14ac:dyDescent="0.25">
      <c r="J63" s="368"/>
      <c r="K63" s="368"/>
      <c r="L63" s="368"/>
      <c r="M63" s="368"/>
      <c r="N63" s="368"/>
    </row>
    <row r="64" spans="1:14" x14ac:dyDescent="0.25">
      <c r="J64" s="368"/>
      <c r="K64" s="368"/>
      <c r="L64" s="368"/>
      <c r="M64" s="368"/>
      <c r="N64" s="368"/>
    </row>
    <row r="65" spans="10:14" x14ac:dyDescent="0.25">
      <c r="J65" s="368"/>
      <c r="K65" s="368"/>
      <c r="L65" s="368"/>
      <c r="M65" s="368"/>
      <c r="N65" s="368"/>
    </row>
    <row r="66" spans="10:14" x14ac:dyDescent="0.25">
      <c r="J66" s="368"/>
      <c r="K66" s="368"/>
      <c r="L66" s="368"/>
      <c r="M66" s="368"/>
      <c r="N66" s="368"/>
    </row>
    <row r="67" spans="10:14" x14ac:dyDescent="0.25">
      <c r="J67" s="368"/>
      <c r="K67" s="368"/>
      <c r="L67" s="368"/>
      <c r="M67" s="368"/>
      <c r="N67" s="368"/>
    </row>
    <row r="68" spans="10:14" x14ac:dyDescent="0.25">
      <c r="J68" s="368"/>
      <c r="K68" s="368"/>
      <c r="L68" s="368"/>
      <c r="M68" s="368"/>
      <c r="N68" s="3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41</vt:i4>
      </vt:variant>
    </vt:vector>
  </HeadingPairs>
  <TitlesOfParts>
    <vt:vector size="41" baseType="lpstr">
      <vt:lpstr>MARCO</vt:lpstr>
      <vt:lpstr>A1.EPSILON </vt:lpstr>
      <vt:lpstr>A2 BRECKEL </vt:lpstr>
      <vt:lpstr>A3 WATICANA </vt:lpstr>
      <vt:lpstr> A4 BCO URANO </vt:lpstr>
      <vt:lpstr>A5.1 EPG KIOSCO</vt:lpstr>
      <vt:lpstr>A5.2 EPG BAR</vt:lpstr>
      <vt:lpstr>A5.3 EPG CARPIN</vt:lpstr>
      <vt:lpstr>A6 BOME</vt:lpstr>
      <vt:lpstr>A7 PUCELA </vt:lpstr>
      <vt:lpstr>A8 WIRTS</vt:lpstr>
      <vt:lpstr>A9 CARS ESPAÑA </vt:lpstr>
      <vt:lpstr>A.10 FABIO </vt:lpstr>
      <vt:lpstr>A11 XARABAL </vt:lpstr>
      <vt:lpstr>A.12 IBANK </vt:lpstr>
      <vt:lpstr>A.13 DENVER </vt:lpstr>
      <vt:lpstr>A14 PSP</vt:lpstr>
      <vt:lpstr> A15  B. ALTAMAR</vt:lpstr>
      <vt:lpstr> A16 S. NORTE </vt:lpstr>
      <vt:lpstr>A16 S NORTE Cnes</vt:lpstr>
      <vt:lpstr>A16 S. NORTE Div</vt:lpstr>
      <vt:lpstr>A16 S.NORTE -Deud</vt:lpstr>
      <vt:lpstr>A17.1 ESCUDERO </vt:lpstr>
      <vt:lpstr>A17.2 ESCUDERO </vt:lpstr>
      <vt:lpstr>A18 ASADOR </vt:lpstr>
      <vt:lpstr>A19 QUOD </vt:lpstr>
      <vt:lpstr>A20 ARUBA</vt:lpstr>
      <vt:lpstr>A21 EISHADO </vt:lpstr>
      <vt:lpstr>A22 COLORADO </vt:lpstr>
      <vt:lpstr>A23 CONSTANCE</vt:lpstr>
      <vt:lpstr>A24 VALERON plan</vt:lpstr>
      <vt:lpstr>A24 VALERON sol </vt:lpstr>
      <vt:lpstr>A25 M&amp;M-1 datos </vt:lpstr>
      <vt:lpstr>A25 M&amp;M-1 sol</vt:lpstr>
      <vt:lpstr>A25 M&amp;M-2 sol </vt:lpstr>
      <vt:lpstr>A26 MARCAS </vt:lpstr>
      <vt:lpstr>A27 TRIPE A</vt:lpstr>
      <vt:lpstr>M ANANCONDA F</vt:lpstr>
      <vt:lpstr>M ANANCONDA </vt:lpstr>
      <vt:lpstr>BIBLIOGRAFIA </vt:lpstr>
      <vt:lpstr>Hoja1</vt:lpstr>
    </vt:vector>
  </TitlesOfParts>
  <Company>ESADE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ABP ESADE</dc:creator>
  <cp:lastModifiedBy>CELIA</cp:lastModifiedBy>
  <cp:lastPrinted>2017-09-04T14:39:04Z</cp:lastPrinted>
  <dcterms:created xsi:type="dcterms:W3CDTF">2013-10-08T13:31:50Z</dcterms:created>
  <dcterms:modified xsi:type="dcterms:W3CDTF">2017-09-14T09:38:25Z</dcterms:modified>
</cp:coreProperties>
</file>